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showInkAnnotation="0" codeName="ThisWorkbook" defaultThemeVersion="124226"/>
  <mc:AlternateContent xmlns:mc="http://schemas.openxmlformats.org/markup-compatibility/2006">
    <mc:Choice Requires="x15">
      <x15ac:absPath xmlns:x15ac="http://schemas.microsoft.com/office/spreadsheetml/2010/11/ac" url="C:\Users\itoh\Desktop\"/>
    </mc:Choice>
  </mc:AlternateContent>
  <xr:revisionPtr revIDLastSave="0" documentId="8_{B6A93CE9-9FC7-43A6-A7E4-99BB4F40FEDD}" xr6:coauthVersionLast="45" xr6:coauthVersionMax="45" xr10:uidLastSave="{00000000-0000-0000-0000-000000000000}"/>
  <workbookProtection workbookPassword="ED51" lockStructure="1"/>
  <bookViews>
    <workbookView xWindow="28635" yWindow="330" windowWidth="20955" windowHeight="14790" tabRatio="848" firstSheet="2" activeTab="2" xr2:uid="{00000000-000D-0000-FFFF-FFFF00000000}"/>
  </bookViews>
  <sheets>
    <sheet name="算定に必要な項目" sheetId="19" state="hidden" r:id="rId1"/>
    <sheet name="変更履歴等" sheetId="21" state="hidden" r:id="rId2"/>
    <sheet name="個別製品情報入力シート" sheetId="18" r:id="rId3"/>
    <sheet name="原単位一覧" sheetId="20" state="hidden" r:id="rId4"/>
    <sheet name="セルフチェックリスト" sheetId="22" r:id="rId5"/>
    <sheet name="（1）検証申請書" sheetId="16" r:id="rId6"/>
    <sheet name="(2)登録情報" sheetId="9" r:id="rId7"/>
    <sheet name="(4)データ入力と算出結果" sheetId="1" r:id="rId8"/>
    <sheet name="(5)データの根拠" sheetId="7" r:id="rId9"/>
    <sheet name="【参考】数値表示案" sheetId="11" r:id="rId10"/>
    <sheet name="(3)フロー図" sheetId="13" r:id="rId11"/>
  </sheets>
  <externalReferences>
    <externalReference r:id="rId12"/>
  </externalReferences>
  <definedNames>
    <definedName name="_Fill" hidden="1">#REF!</definedName>
    <definedName name="_xlnm._FilterDatabase" localSheetId="7" hidden="1">'(4)データ入力と算出結果'!$A$1:$W$108</definedName>
    <definedName name="_xlnm._FilterDatabase" localSheetId="0" hidden="1">算定に必要な項目!$A$3:$K$69</definedName>
    <definedName name="_xlnm._FilterDatabase" hidden="1">'[1]家電担当者 '!$B$8:$R$8</definedName>
    <definedName name="_Key1" hidden="1">#REF!</definedName>
    <definedName name="_Key2" hidden="1">#REF!</definedName>
    <definedName name="_Order1" hidden="1">1</definedName>
    <definedName name="_Order2" hidden="1">1</definedName>
    <definedName name="_Sort" hidden="1">#REF!</definedName>
    <definedName name="_xlnm.Print_Area" localSheetId="5">'（1）検証申請書'!$A$1:$H$54</definedName>
    <definedName name="_xlnm.Print_Area" localSheetId="6">'(2)登録情報'!$A$1:$F$53</definedName>
    <definedName name="_xlnm.Print_Area" localSheetId="7">'(4)データ入力と算出結果'!$B$1:$R$107</definedName>
    <definedName name="_xlnm.Print_Area" localSheetId="8">'(5)データの根拠'!$A$1:$J$126</definedName>
    <definedName name="_xlnm.Print_Area" localSheetId="4">セルフチェックリスト!$A$1:$C$76</definedName>
    <definedName name="_xlnm.Print_Area" localSheetId="3">原単位一覧!$B$1:$J$112</definedName>
    <definedName name="_xlnm.Print_Area" localSheetId="2">個別製品情報入力シート!$A$1:$K$64</definedName>
    <definedName name="_xlnm.Print_Titles" localSheetId="8">'(5)データの根拠'!$3:$4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18" l="1"/>
  <c r="D38" i="18"/>
  <c r="D36" i="18"/>
  <c r="D35" i="18"/>
  <c r="C7" i="9" l="1"/>
  <c r="C9" i="9" l="1"/>
  <c r="C8" i="9"/>
  <c r="C19" i="16" l="1"/>
  <c r="E17" i="18" l="1"/>
  <c r="D17" i="18" l="1"/>
  <c r="L14" i="18"/>
  <c r="H90" i="18" l="1"/>
  <c r="I90" i="18"/>
  <c r="G90" i="18"/>
  <c r="F90" i="18"/>
  <c r="E90" i="18"/>
  <c r="K51" i="1"/>
  <c r="L51" i="1" s="1"/>
  <c r="K50" i="1"/>
  <c r="L50" i="1" s="1"/>
  <c r="K49" i="1"/>
  <c r="L49" i="1" s="1"/>
  <c r="K48" i="1"/>
  <c r="L48" i="1" s="1"/>
  <c r="K47" i="1"/>
  <c r="L47" i="1" s="1"/>
  <c r="N89" i="1" l="1"/>
  <c r="M89" i="1"/>
  <c r="L89" i="1"/>
  <c r="J89" i="1"/>
  <c r="K89" i="1"/>
  <c r="H89" i="1"/>
  <c r="E89" i="1"/>
  <c r="J101" i="7"/>
  <c r="J104" i="7"/>
  <c r="E55" i="7" l="1"/>
  <c r="F33" i="18"/>
  <c r="L69" i="1" l="1"/>
  <c r="E33" i="18" l="1"/>
  <c r="G33" i="18"/>
  <c r="H33" i="18"/>
  <c r="I33" i="18"/>
  <c r="E118" i="7" l="1"/>
  <c r="C13" i="9"/>
  <c r="C12" i="9"/>
  <c r="M93" i="1" l="1"/>
  <c r="M69" i="1"/>
  <c r="K69" i="1"/>
  <c r="J69" i="1"/>
  <c r="E82" i="7"/>
  <c r="E119" i="7" s="1"/>
  <c r="E36" i="7"/>
  <c r="G33" i="7"/>
  <c r="G31" i="7"/>
  <c r="G29" i="7"/>
  <c r="G27" i="7"/>
  <c r="G25" i="7"/>
  <c r="E25" i="7"/>
  <c r="I38" i="18"/>
  <c r="H38" i="18"/>
  <c r="G38" i="18"/>
  <c r="F38" i="18"/>
  <c r="E38" i="18"/>
  <c r="E6" i="7"/>
  <c r="E5" i="7" l="1"/>
  <c r="E16" i="7"/>
  <c r="K16" i="1" l="1"/>
  <c r="G70" i="7" l="1"/>
  <c r="E63" i="7" l="1"/>
  <c r="J120" i="7" l="1"/>
  <c r="J119" i="7"/>
  <c r="J118" i="7"/>
  <c r="J117" i="7"/>
  <c r="J116" i="7"/>
  <c r="J111" i="7"/>
  <c r="J109" i="7"/>
  <c r="J107" i="7"/>
  <c r="J99" i="7"/>
  <c r="J95" i="7"/>
  <c r="J93" i="7"/>
  <c r="J89" i="7"/>
  <c r="J87" i="7"/>
  <c r="J86" i="7"/>
  <c r="J84" i="7"/>
  <c r="J83" i="7"/>
  <c r="J82" i="7"/>
  <c r="J80" i="7"/>
  <c r="J78" i="7"/>
  <c r="J72" i="7"/>
  <c r="J70" i="7"/>
  <c r="J63" i="7"/>
  <c r="J53" i="7"/>
  <c r="J52" i="7"/>
  <c r="J51" i="7"/>
  <c r="J50" i="7"/>
  <c r="J49" i="7"/>
  <c r="J48" i="7"/>
  <c r="J47" i="7"/>
  <c r="J42" i="7"/>
  <c r="J37" i="7"/>
  <c r="J36" i="7"/>
  <c r="J24" i="7"/>
  <c r="J23" i="7"/>
  <c r="J22" i="7"/>
  <c r="J21" i="7"/>
  <c r="J16" i="7"/>
  <c r="J11" i="7"/>
  <c r="J6" i="7"/>
  <c r="J5" i="7"/>
  <c r="E33" i="7" l="1"/>
  <c r="E31" i="7"/>
  <c r="E29" i="7"/>
  <c r="E27" i="7"/>
  <c r="C52" i="18"/>
  <c r="I107" i="18" l="1"/>
  <c r="H107" i="18"/>
  <c r="G107" i="18"/>
  <c r="F107" i="18"/>
  <c r="E107" i="18"/>
  <c r="N74" i="1" l="1"/>
  <c r="N73" i="1"/>
  <c r="G73" i="1"/>
  <c r="G74" i="1"/>
  <c r="H74" i="1"/>
  <c r="H73" i="1"/>
  <c r="A75" i="1"/>
  <c r="C54" i="18" l="1"/>
  <c r="I91" i="20"/>
  <c r="E64" i="18"/>
  <c r="E10" i="7"/>
  <c r="E9" i="7"/>
  <c r="E8" i="7"/>
  <c r="E7" i="7"/>
  <c r="E75" i="7"/>
  <c r="E74" i="7"/>
  <c r="E72" i="7"/>
  <c r="J101" i="1"/>
  <c r="M101" i="1"/>
  <c r="C139" i="20"/>
  <c r="G144" i="20"/>
  <c r="C145" i="20" s="1"/>
  <c r="G145" i="20"/>
  <c r="C144" i="20"/>
  <c r="C143" i="20"/>
  <c r="L101" i="1" s="1"/>
  <c r="I115" i="7"/>
  <c r="I114" i="7"/>
  <c r="I113" i="7"/>
  <c r="I112" i="7"/>
  <c r="I111" i="7"/>
  <c r="F115" i="7"/>
  <c r="F114" i="7"/>
  <c r="F113" i="7"/>
  <c r="F112" i="7"/>
  <c r="F111" i="7"/>
  <c r="F16" i="7"/>
  <c r="I16" i="7"/>
  <c r="I20" i="7"/>
  <c r="F20" i="7"/>
  <c r="I19" i="7"/>
  <c r="F19" i="7"/>
  <c r="I18" i="7"/>
  <c r="F18" i="7"/>
  <c r="I17" i="7"/>
  <c r="F17" i="7"/>
  <c r="E53" i="7"/>
  <c r="G121" i="20"/>
  <c r="G120" i="20"/>
  <c r="G119" i="20"/>
  <c r="G116" i="20"/>
  <c r="G115" i="20"/>
  <c r="G114" i="20"/>
  <c r="G156" i="20" s="1"/>
  <c r="C156" i="20" s="1"/>
  <c r="G113" i="20"/>
  <c r="G112" i="20"/>
  <c r="H112" i="20" s="1"/>
  <c r="G154" i="20"/>
  <c r="G162" i="20"/>
  <c r="G161" i="20"/>
  <c r="G160" i="20"/>
  <c r="G157" i="20"/>
  <c r="G158" i="20" s="1"/>
  <c r="G155" i="20"/>
  <c r="C155" i="20" s="1"/>
  <c r="G153" i="20"/>
  <c r="G152" i="20" s="1"/>
  <c r="H152" i="20" s="1"/>
  <c r="D175" i="20"/>
  <c r="D176" i="20"/>
  <c r="D177" i="20"/>
  <c r="D178" i="20"/>
  <c r="D179" i="20"/>
  <c r="D180" i="20"/>
  <c r="D181" i="20"/>
  <c r="D182" i="20"/>
  <c r="D183" i="20"/>
  <c r="D174" i="20"/>
  <c r="E58" i="1"/>
  <c r="N58" i="1"/>
  <c r="E57" i="7"/>
  <c r="E56" i="7"/>
  <c r="E54" i="7"/>
  <c r="H58" i="1"/>
  <c r="G58" i="1"/>
  <c r="E91" i="18"/>
  <c r="E98" i="18" s="1"/>
  <c r="E96" i="18"/>
  <c r="C163" i="20"/>
  <c r="E111" i="7"/>
  <c r="L50" i="20"/>
  <c r="G50" i="20" s="1"/>
  <c r="C122" i="20"/>
  <c r="L42" i="20"/>
  <c r="G42" i="20" s="1"/>
  <c r="L39" i="20"/>
  <c r="G39" i="20" s="1"/>
  <c r="E67" i="7"/>
  <c r="E66" i="7"/>
  <c r="E65" i="7"/>
  <c r="E64" i="7"/>
  <c r="G117" i="20" l="1"/>
  <c r="H116" i="20"/>
  <c r="E79" i="7"/>
  <c r="E71" i="7"/>
  <c r="E77" i="7"/>
  <c r="E81" i="7"/>
  <c r="E97" i="18"/>
  <c r="E99" i="18"/>
  <c r="C152" i="20"/>
  <c r="G159" i="20"/>
  <c r="G118" i="20"/>
  <c r="C114" i="20"/>
  <c r="E73" i="7" s="1"/>
  <c r="G111" i="20"/>
  <c r="C111" i="20" s="1"/>
  <c r="E76" i="7" s="1"/>
  <c r="C115" i="20"/>
  <c r="L43" i="20"/>
  <c r="G43" i="20" s="1"/>
  <c r="B3" i="13" l="1"/>
  <c r="I3" i="13"/>
  <c r="F3" i="13"/>
  <c r="C64" i="18"/>
  <c r="C55" i="18"/>
  <c r="I98" i="20"/>
  <c r="E85" i="7" s="1"/>
  <c r="A82" i="1"/>
  <c r="E88" i="7" l="1"/>
  <c r="H72" i="7"/>
  <c r="E90" i="7"/>
  <c r="E96" i="7"/>
  <c r="E94" i="7"/>
  <c r="F109" i="18"/>
  <c r="F110" i="18" s="1"/>
  <c r="G109" i="18"/>
  <c r="G110" i="18" s="1"/>
  <c r="H109" i="18"/>
  <c r="H110" i="18" s="1"/>
  <c r="I109" i="18"/>
  <c r="I110" i="18" s="1"/>
  <c r="E109" i="18"/>
  <c r="E110" i="18" s="1"/>
  <c r="F105" i="18"/>
  <c r="F108" i="18" s="1"/>
  <c r="G105" i="18"/>
  <c r="G108" i="18" s="1"/>
  <c r="H105" i="18"/>
  <c r="H108" i="18" s="1"/>
  <c r="I105" i="18"/>
  <c r="I108" i="18" s="1"/>
  <c r="E105" i="18"/>
  <c r="E108" i="18" s="1"/>
  <c r="E111" i="18" l="1"/>
  <c r="E117" i="18" s="1"/>
  <c r="I111" i="18"/>
  <c r="H111" i="18" l="1"/>
  <c r="G111" i="18"/>
  <c r="G117" i="18" s="1"/>
  <c r="F111" i="18"/>
  <c r="F117" i="18" s="1"/>
  <c r="I117" i="18"/>
  <c r="E95" i="7"/>
  <c r="H117" i="18" l="1"/>
  <c r="B10" i="11"/>
  <c r="E68" i="7" l="1"/>
  <c r="H63" i="7" l="1"/>
  <c r="F59" i="1" s="1"/>
  <c r="C132" i="20" l="1"/>
  <c r="L70" i="1"/>
  <c r="C11" i="9"/>
  <c r="F96" i="18"/>
  <c r="F71" i="18"/>
  <c r="F77" i="18" s="1"/>
  <c r="F91" i="18"/>
  <c r="F99" i="18" s="1"/>
  <c r="G91" i="18"/>
  <c r="G99" i="18" s="1"/>
  <c r="H91" i="18"/>
  <c r="H98" i="18" s="1"/>
  <c r="I91" i="18"/>
  <c r="I99" i="18" s="1"/>
  <c r="G72" i="18"/>
  <c r="G79" i="18" s="1"/>
  <c r="H72" i="18"/>
  <c r="H80" i="18" s="1"/>
  <c r="F72" i="18"/>
  <c r="F79" i="18" s="1"/>
  <c r="E72" i="18"/>
  <c r="E79" i="18" s="1"/>
  <c r="I72" i="18"/>
  <c r="I79" i="18" s="1"/>
  <c r="G96" i="18"/>
  <c r="H96" i="18"/>
  <c r="I96" i="18"/>
  <c r="I71" i="18"/>
  <c r="I78" i="18" s="1"/>
  <c r="H71" i="18"/>
  <c r="H77" i="18" s="1"/>
  <c r="G71" i="18"/>
  <c r="G77" i="18" s="1"/>
  <c r="E71" i="18"/>
  <c r="E77" i="18" s="1"/>
  <c r="E87" i="18"/>
  <c r="E88" i="18"/>
  <c r="E100" i="18" s="1"/>
  <c r="E89" i="18"/>
  <c r="F88" i="18"/>
  <c r="G88" i="18"/>
  <c r="H88" i="18"/>
  <c r="I88" i="18"/>
  <c r="F89" i="18"/>
  <c r="G89" i="18"/>
  <c r="H89" i="18"/>
  <c r="I89" i="18"/>
  <c r="G87" i="18"/>
  <c r="H87" i="18"/>
  <c r="I87" i="18"/>
  <c r="F87" i="18"/>
  <c r="F68" i="18"/>
  <c r="E68" i="18"/>
  <c r="E80" i="7"/>
  <c r="H80" i="7" s="1"/>
  <c r="H10" i="7"/>
  <c r="F17" i="1" s="1"/>
  <c r="A17" i="1" s="1"/>
  <c r="H9" i="7"/>
  <c r="F16" i="1" s="1"/>
  <c r="A16" i="1" s="1"/>
  <c r="H8" i="7"/>
  <c r="F15" i="1" s="1"/>
  <c r="A15" i="1" s="1"/>
  <c r="H7" i="7"/>
  <c r="F14" i="1" s="1"/>
  <c r="H6" i="7"/>
  <c r="F13" i="1" s="1"/>
  <c r="A13" i="1" s="1"/>
  <c r="E115" i="7"/>
  <c r="H115" i="7" s="1"/>
  <c r="F97" i="1" s="1"/>
  <c r="A97" i="1" s="1"/>
  <c r="E114" i="7"/>
  <c r="H114" i="7" s="1"/>
  <c r="F96" i="1" s="1"/>
  <c r="A96" i="1" s="1"/>
  <c r="E113" i="7"/>
  <c r="H113" i="7" s="1"/>
  <c r="F95" i="1" s="1"/>
  <c r="A95" i="1" s="1"/>
  <c r="E112" i="7"/>
  <c r="H112" i="7" s="1"/>
  <c r="F94" i="1" s="1"/>
  <c r="A94" i="1" s="1"/>
  <c r="H111" i="7"/>
  <c r="F93" i="1" s="1"/>
  <c r="A93" i="1" s="1"/>
  <c r="N102" i="1"/>
  <c r="H102" i="1"/>
  <c r="G102" i="1"/>
  <c r="K101" i="1"/>
  <c r="E81" i="1"/>
  <c r="N70" i="1"/>
  <c r="N71" i="1"/>
  <c r="H71" i="1"/>
  <c r="G71" i="1"/>
  <c r="H70" i="1"/>
  <c r="G70" i="1"/>
  <c r="H82" i="7"/>
  <c r="F69" i="1" s="1"/>
  <c r="A69" i="1" s="1"/>
  <c r="E83" i="7"/>
  <c r="E120" i="7" s="1"/>
  <c r="J35" i="1"/>
  <c r="J34" i="1"/>
  <c r="J33" i="1"/>
  <c r="J32" i="1"/>
  <c r="J31" i="1"/>
  <c r="I35" i="1"/>
  <c r="N35" i="1" s="1"/>
  <c r="I34" i="1"/>
  <c r="N34" i="1" s="1"/>
  <c r="I33" i="1"/>
  <c r="N33" i="1" s="1"/>
  <c r="I32" i="1"/>
  <c r="N32" i="1" s="1"/>
  <c r="I31" i="1"/>
  <c r="N31" i="1" s="1"/>
  <c r="L35" i="1"/>
  <c r="L34" i="1"/>
  <c r="L33" i="1"/>
  <c r="L32" i="1"/>
  <c r="L31" i="1"/>
  <c r="K35" i="1"/>
  <c r="K34" i="1"/>
  <c r="K33" i="1"/>
  <c r="K32" i="1"/>
  <c r="K31" i="1"/>
  <c r="H35" i="1"/>
  <c r="H34" i="1"/>
  <c r="H33" i="1"/>
  <c r="H32" i="1"/>
  <c r="H31" i="1"/>
  <c r="G32" i="1"/>
  <c r="G33" i="1"/>
  <c r="G34" i="1"/>
  <c r="G35" i="1"/>
  <c r="E24" i="7"/>
  <c r="E20" i="7"/>
  <c r="H20" i="7" s="1"/>
  <c r="F27" i="1" s="1"/>
  <c r="A27" i="1" s="1"/>
  <c r="E19" i="7"/>
  <c r="H19" i="7" s="1"/>
  <c r="F26" i="1" s="1"/>
  <c r="A26" i="1" s="1"/>
  <c r="E18" i="7"/>
  <c r="H18" i="7" s="1"/>
  <c r="F25" i="1" s="1"/>
  <c r="A25" i="1" s="1"/>
  <c r="E17" i="7"/>
  <c r="H17" i="7" s="1"/>
  <c r="F24" i="1" s="1"/>
  <c r="A24" i="1" s="1"/>
  <c r="H16" i="7"/>
  <c r="F23" i="1" s="1"/>
  <c r="A23" i="1" s="1"/>
  <c r="K18" i="1"/>
  <c r="J18" i="1" s="1"/>
  <c r="I70" i="18"/>
  <c r="H70" i="18"/>
  <c r="G70" i="18"/>
  <c r="F70" i="18"/>
  <c r="E70" i="18"/>
  <c r="I69" i="18"/>
  <c r="H69" i="18"/>
  <c r="G69" i="18"/>
  <c r="F69" i="18"/>
  <c r="E69" i="18"/>
  <c r="H68" i="18"/>
  <c r="G68" i="18"/>
  <c r="C21" i="16"/>
  <c r="C20" i="16"/>
  <c r="G19" i="16"/>
  <c r="B18" i="16"/>
  <c r="F17" i="16"/>
  <c r="B17" i="16"/>
  <c r="B16" i="16"/>
  <c r="B13" i="16"/>
  <c r="G14" i="16"/>
  <c r="C14" i="16"/>
  <c r="G15" i="16"/>
  <c r="C15" i="16"/>
  <c r="B12" i="16"/>
  <c r="B10" i="16"/>
  <c r="B11" i="16"/>
  <c r="C20" i="9"/>
  <c r="N95" i="1"/>
  <c r="N96" i="1"/>
  <c r="N97" i="1"/>
  <c r="N98" i="1"/>
  <c r="N99" i="1"/>
  <c r="N100" i="1"/>
  <c r="N101" i="1"/>
  <c r="N90" i="1"/>
  <c r="N91" i="1"/>
  <c r="N92" i="1"/>
  <c r="N93" i="1"/>
  <c r="N94" i="1"/>
  <c r="N88" i="1"/>
  <c r="N81" i="1"/>
  <c r="N80" i="1"/>
  <c r="N66" i="1"/>
  <c r="N67" i="1"/>
  <c r="N68" i="1"/>
  <c r="N69" i="1"/>
  <c r="N72" i="1"/>
  <c r="N65" i="1"/>
  <c r="N59" i="1"/>
  <c r="N42" i="1"/>
  <c r="N43" i="1"/>
  <c r="N44" i="1"/>
  <c r="N45" i="1"/>
  <c r="N46" i="1"/>
  <c r="N47" i="1"/>
  <c r="N48" i="1"/>
  <c r="N49" i="1"/>
  <c r="N50" i="1"/>
  <c r="N51" i="1"/>
  <c r="N52" i="1"/>
  <c r="N53" i="1"/>
  <c r="N54" i="1"/>
  <c r="N55" i="1"/>
  <c r="N56" i="1"/>
  <c r="N57" i="1"/>
  <c r="N41" i="1"/>
  <c r="N28" i="1"/>
  <c r="N29" i="1"/>
  <c r="N30" i="1"/>
  <c r="N12" i="1"/>
  <c r="H100" i="1"/>
  <c r="H101" i="1"/>
  <c r="H94" i="1"/>
  <c r="H95" i="1"/>
  <c r="H96" i="1"/>
  <c r="H97" i="1"/>
  <c r="H98" i="1"/>
  <c r="H99" i="1"/>
  <c r="H93" i="1"/>
  <c r="H92" i="1"/>
  <c r="H91" i="1"/>
  <c r="H90" i="1"/>
  <c r="H88" i="1"/>
  <c r="H81" i="1"/>
  <c r="H80" i="1"/>
  <c r="H69" i="1"/>
  <c r="H72" i="1"/>
  <c r="H68" i="1"/>
  <c r="H67" i="1"/>
  <c r="H66" i="1"/>
  <c r="H65" i="1"/>
  <c r="H59" i="1"/>
  <c r="H42" i="1"/>
  <c r="H43" i="1"/>
  <c r="H44" i="1"/>
  <c r="H45" i="1"/>
  <c r="H46" i="1"/>
  <c r="H47" i="1"/>
  <c r="H48" i="1"/>
  <c r="H49" i="1"/>
  <c r="H50" i="1"/>
  <c r="H51" i="1"/>
  <c r="H52" i="1"/>
  <c r="H53" i="1"/>
  <c r="H54" i="1"/>
  <c r="H55" i="1"/>
  <c r="H56" i="1"/>
  <c r="H57" i="1"/>
  <c r="H41" i="1"/>
  <c r="H24" i="1"/>
  <c r="H25" i="1"/>
  <c r="H26" i="1"/>
  <c r="H27" i="1"/>
  <c r="H28" i="1"/>
  <c r="H29" i="1"/>
  <c r="H30" i="1"/>
  <c r="H18" i="1"/>
  <c r="H19" i="1"/>
  <c r="H20" i="1"/>
  <c r="H21" i="1"/>
  <c r="H22" i="1"/>
  <c r="H23" i="1"/>
  <c r="H13" i="1"/>
  <c r="H14" i="1"/>
  <c r="H15" i="1"/>
  <c r="H16" i="1"/>
  <c r="H17" i="1"/>
  <c r="H12" i="1"/>
  <c r="K97" i="1"/>
  <c r="K96" i="1"/>
  <c r="K95" i="1"/>
  <c r="K94" i="1"/>
  <c r="K93" i="1"/>
  <c r="M96" i="1"/>
  <c r="L96" i="1"/>
  <c r="M95" i="1"/>
  <c r="L95" i="1"/>
  <c r="M94" i="1"/>
  <c r="L94" i="1"/>
  <c r="L93" i="1"/>
  <c r="M97" i="1"/>
  <c r="L97" i="1"/>
  <c r="G101" i="1"/>
  <c r="G100" i="1"/>
  <c r="E100" i="1"/>
  <c r="E101" i="1"/>
  <c r="G99" i="1"/>
  <c r="E99" i="1"/>
  <c r="G98" i="1"/>
  <c r="E98" i="1"/>
  <c r="E94" i="1"/>
  <c r="G94" i="1"/>
  <c r="E95" i="1"/>
  <c r="G95" i="1"/>
  <c r="E96" i="1"/>
  <c r="G96" i="1"/>
  <c r="E97" i="1"/>
  <c r="G97" i="1"/>
  <c r="G93" i="1"/>
  <c r="E93" i="1"/>
  <c r="G92" i="1"/>
  <c r="E92" i="1"/>
  <c r="G91" i="1"/>
  <c r="E91" i="1"/>
  <c r="E90" i="1"/>
  <c r="E88" i="1"/>
  <c r="E80" i="1"/>
  <c r="C131" i="20"/>
  <c r="G72" i="1"/>
  <c r="G68" i="1"/>
  <c r="G69" i="1"/>
  <c r="G67" i="1"/>
  <c r="G66" i="1"/>
  <c r="G65" i="1"/>
  <c r="E26" i="7"/>
  <c r="E28" i="7"/>
  <c r="E30" i="7"/>
  <c r="E32" i="7"/>
  <c r="G42" i="1"/>
  <c r="G43" i="1"/>
  <c r="G44" i="1"/>
  <c r="G45" i="1"/>
  <c r="G46" i="1"/>
  <c r="G47" i="1"/>
  <c r="G48" i="1"/>
  <c r="G49" i="1"/>
  <c r="G50" i="1"/>
  <c r="G51" i="1"/>
  <c r="G52" i="1"/>
  <c r="G53" i="1"/>
  <c r="G54" i="1"/>
  <c r="G55" i="1"/>
  <c r="G56" i="1"/>
  <c r="G57" i="1"/>
  <c r="G41" i="1"/>
  <c r="E55" i="1"/>
  <c r="E56" i="1"/>
  <c r="E57" i="1"/>
  <c r="E53" i="1"/>
  <c r="E54" i="1"/>
  <c r="E52" i="1"/>
  <c r="E49" i="1"/>
  <c r="E50" i="1"/>
  <c r="E51" i="1"/>
  <c r="E47" i="1"/>
  <c r="E48" i="1"/>
  <c r="E42" i="1"/>
  <c r="E43" i="1"/>
  <c r="E44" i="1"/>
  <c r="E45" i="1"/>
  <c r="E46" i="1"/>
  <c r="E41" i="1"/>
  <c r="C5" i="7"/>
  <c r="G21" i="1"/>
  <c r="G22" i="1"/>
  <c r="G23" i="1"/>
  <c r="G24" i="1"/>
  <c r="G25" i="1"/>
  <c r="G26" i="1"/>
  <c r="G27" i="1"/>
  <c r="G28" i="1"/>
  <c r="G30" i="1"/>
  <c r="G31" i="1"/>
  <c r="G13" i="1"/>
  <c r="G14" i="1"/>
  <c r="G15" i="1"/>
  <c r="G16" i="1"/>
  <c r="G17" i="1"/>
  <c r="G18" i="1"/>
  <c r="G19" i="1"/>
  <c r="G20" i="1"/>
  <c r="E23" i="1"/>
  <c r="E24" i="1"/>
  <c r="E25" i="1"/>
  <c r="E26" i="1"/>
  <c r="E27" i="1"/>
  <c r="E14" i="1"/>
  <c r="E15" i="1"/>
  <c r="E16" i="1"/>
  <c r="E17" i="1"/>
  <c r="E18" i="1"/>
  <c r="E19" i="1"/>
  <c r="E20" i="1"/>
  <c r="E21" i="1"/>
  <c r="E22" i="1"/>
  <c r="E13" i="1"/>
  <c r="K26" i="1"/>
  <c r="I27" i="1"/>
  <c r="N27" i="1" s="1"/>
  <c r="L27" i="1"/>
  <c r="I26" i="1"/>
  <c r="N26" i="1" s="1"/>
  <c r="L26" i="1"/>
  <c r="I25" i="1"/>
  <c r="N25" i="1" s="1"/>
  <c r="L25" i="1"/>
  <c r="K25" i="1"/>
  <c r="I24" i="1"/>
  <c r="N24" i="1" s="1"/>
  <c r="J24" i="1"/>
  <c r="I23" i="1"/>
  <c r="N23" i="1" s="1"/>
  <c r="J23" i="1"/>
  <c r="J27" i="1"/>
  <c r="J26" i="1"/>
  <c r="J25" i="1"/>
  <c r="L24" i="1"/>
  <c r="L23" i="1"/>
  <c r="M27" i="1"/>
  <c r="M26" i="1"/>
  <c r="M25" i="1"/>
  <c r="M24" i="1"/>
  <c r="M23" i="1"/>
  <c r="K27" i="1"/>
  <c r="K24" i="1"/>
  <c r="K23" i="1"/>
  <c r="L16" i="1"/>
  <c r="E117" i="7"/>
  <c r="H117" i="7" s="1"/>
  <c r="F99" i="1" s="1"/>
  <c r="E46" i="7"/>
  <c r="H46" i="7" s="1"/>
  <c r="F51" i="1" s="1"/>
  <c r="E45" i="7"/>
  <c r="H45" i="7" s="1"/>
  <c r="F50" i="1" s="1"/>
  <c r="E44" i="7"/>
  <c r="H44" i="7" s="1"/>
  <c r="F49" i="1" s="1"/>
  <c r="E43" i="7"/>
  <c r="H43" i="7" s="1"/>
  <c r="F48" i="1" s="1"/>
  <c r="E42" i="7"/>
  <c r="H42" i="7" s="1"/>
  <c r="F47" i="1" s="1"/>
  <c r="G29" i="1"/>
  <c r="E15" i="7"/>
  <c r="H15" i="7" s="1"/>
  <c r="F22" i="1" s="1"/>
  <c r="A22" i="1" s="1"/>
  <c r="E14" i="7"/>
  <c r="H14" i="7" s="1"/>
  <c r="F21" i="1" s="1"/>
  <c r="A21" i="1" s="1"/>
  <c r="E13" i="7"/>
  <c r="H13" i="7" s="1"/>
  <c r="F20" i="1" s="1"/>
  <c r="A20" i="1" s="1"/>
  <c r="E12" i="7"/>
  <c r="H12" i="7" s="1"/>
  <c r="F19" i="1" s="1"/>
  <c r="A19" i="1" s="1"/>
  <c r="E11" i="7"/>
  <c r="H11" i="7" s="1"/>
  <c r="F18" i="1" s="1"/>
  <c r="A18" i="1" s="1"/>
  <c r="C6" i="7"/>
  <c r="G12" i="1"/>
  <c r="K90" i="1"/>
  <c r="L90" i="1"/>
  <c r="M90" i="1"/>
  <c r="J90" i="1"/>
  <c r="L88" i="1"/>
  <c r="M88" i="1"/>
  <c r="K88" i="1"/>
  <c r="J88" i="1"/>
  <c r="C138" i="20"/>
  <c r="E93" i="7" s="1"/>
  <c r="C137" i="20"/>
  <c r="G140" i="20"/>
  <c r="G139" i="20"/>
  <c r="M66" i="1"/>
  <c r="L66" i="1"/>
  <c r="K66" i="1"/>
  <c r="J66" i="1"/>
  <c r="M65" i="1"/>
  <c r="L65" i="1"/>
  <c r="K65" i="1"/>
  <c r="J65" i="1"/>
  <c r="C130" i="20"/>
  <c r="C129" i="20"/>
  <c r="C128" i="20"/>
  <c r="L49" i="20"/>
  <c r="L48" i="20"/>
  <c r="L47" i="20"/>
  <c r="G34" i="18" s="1"/>
  <c r="L46" i="20"/>
  <c r="L45" i="20"/>
  <c r="L44" i="20"/>
  <c r="L41" i="20"/>
  <c r="K19" i="1"/>
  <c r="M19" i="1" s="1"/>
  <c r="K20" i="1"/>
  <c r="K21" i="1"/>
  <c r="I21" i="1" s="1"/>
  <c r="N21" i="1" s="1"/>
  <c r="K22" i="1"/>
  <c r="L22" i="1" s="1"/>
  <c r="K17" i="1"/>
  <c r="L17" i="1" s="1"/>
  <c r="K15" i="1"/>
  <c r="L15" i="1" s="1"/>
  <c r="K14" i="1"/>
  <c r="I14" i="1" s="1"/>
  <c r="N14" i="1" s="1"/>
  <c r="K13" i="1"/>
  <c r="J13" i="1" s="1"/>
  <c r="C19" i="9"/>
  <c r="C18" i="9"/>
  <c r="C6" i="9"/>
  <c r="Q39" i="1"/>
  <c r="R39" i="1"/>
  <c r="Q63" i="1"/>
  <c r="R63" i="1"/>
  <c r="Q78" i="1"/>
  <c r="R78" i="1"/>
  <c r="Q86" i="1"/>
  <c r="R86" i="1"/>
  <c r="O103" i="1"/>
  <c r="O82" i="1"/>
  <c r="O83" i="1"/>
  <c r="O75" i="1"/>
  <c r="O60" i="1"/>
  <c r="O36" i="1"/>
  <c r="P86" i="1"/>
  <c r="P78" i="1"/>
  <c r="P63" i="1"/>
  <c r="P39" i="1"/>
  <c r="I97" i="18"/>
  <c r="G97" i="18"/>
  <c r="F34" i="18" l="1"/>
  <c r="I34" i="18"/>
  <c r="H34" i="18"/>
  <c r="E34" i="18"/>
  <c r="G29" i="18"/>
  <c r="L54" i="7"/>
  <c r="E58" i="7"/>
  <c r="K58" i="7" s="1"/>
  <c r="L58" i="7" s="1"/>
  <c r="F29" i="18"/>
  <c r="H29" i="18"/>
  <c r="I29" i="18"/>
  <c r="L15" i="18"/>
  <c r="E29" i="18"/>
  <c r="C184" i="20"/>
  <c r="E60" i="7"/>
  <c r="K60" i="7" s="1"/>
  <c r="L60" i="7" s="1"/>
  <c r="E59" i="7"/>
  <c r="E62" i="7"/>
  <c r="K62" i="7" s="1"/>
  <c r="L62" i="7" s="1"/>
  <c r="E61" i="7"/>
  <c r="K61" i="7" s="1"/>
  <c r="L61" i="7" s="1"/>
  <c r="D19" i="18"/>
  <c r="E116" i="7"/>
  <c r="H116" i="7" s="1"/>
  <c r="F98" i="1" s="1"/>
  <c r="E78" i="7"/>
  <c r="E51" i="7"/>
  <c r="H51" i="7" s="1"/>
  <c r="F56" i="1" s="1"/>
  <c r="O56" i="1" s="1"/>
  <c r="E86" i="7"/>
  <c r="H86" i="7" s="1"/>
  <c r="F72" i="1" s="1"/>
  <c r="C10" i="9"/>
  <c r="I81" i="18"/>
  <c r="H30" i="7"/>
  <c r="F34" i="1" s="1"/>
  <c r="H28" i="7"/>
  <c r="F33" i="1" s="1"/>
  <c r="H26" i="7"/>
  <c r="F32" i="1" s="1"/>
  <c r="A32" i="1" s="1"/>
  <c r="H32" i="7"/>
  <c r="F35" i="1" s="1"/>
  <c r="E101" i="18"/>
  <c r="E102" i="18" s="1"/>
  <c r="E116" i="18" s="1"/>
  <c r="F102" i="1"/>
  <c r="O102" i="1" s="1"/>
  <c r="E84" i="7"/>
  <c r="E89" i="7" s="1"/>
  <c r="H89" i="7" s="1"/>
  <c r="F74" i="1" s="1"/>
  <c r="H139" i="20"/>
  <c r="C140" i="20" s="1"/>
  <c r="B184" i="20"/>
  <c r="E99" i="7"/>
  <c r="H99" i="7" s="1"/>
  <c r="F88" i="1" s="1"/>
  <c r="A88" i="1" s="1"/>
  <c r="G81" i="18"/>
  <c r="H118" i="7"/>
  <c r="F80" i="18"/>
  <c r="F82" i="18" s="1"/>
  <c r="F78" i="18"/>
  <c r="O24" i="1"/>
  <c r="O69" i="1"/>
  <c r="H93" i="7"/>
  <c r="F80" i="1" s="1"/>
  <c r="E52" i="7"/>
  <c r="H52" i="7" s="1"/>
  <c r="F57" i="1" s="1"/>
  <c r="A57" i="1" s="1"/>
  <c r="A14" i="1"/>
  <c r="O48" i="1"/>
  <c r="A48" i="1"/>
  <c r="O49" i="1"/>
  <c r="A49" i="1"/>
  <c r="O50" i="1"/>
  <c r="A50" i="1"/>
  <c r="O47" i="1"/>
  <c r="A47" i="1"/>
  <c r="O51" i="1"/>
  <c r="A51" i="1"/>
  <c r="O99" i="1"/>
  <c r="A99" i="1"/>
  <c r="I16" i="1"/>
  <c r="N16" i="1" s="1"/>
  <c r="I101" i="18"/>
  <c r="G78" i="18"/>
  <c r="E48" i="7"/>
  <c r="H48" i="7" s="1"/>
  <c r="F53" i="1" s="1"/>
  <c r="H119" i="7"/>
  <c r="F101" i="1" s="1"/>
  <c r="F97" i="18"/>
  <c r="E80" i="18"/>
  <c r="E82" i="18" s="1"/>
  <c r="E47" i="7"/>
  <c r="H47" i="7" s="1"/>
  <c r="F52" i="1" s="1"/>
  <c r="H95" i="7"/>
  <c r="F81" i="1" s="1"/>
  <c r="H100" i="18"/>
  <c r="F98" i="18"/>
  <c r="F100" i="18" s="1"/>
  <c r="H79" i="18"/>
  <c r="H81" i="18" s="1"/>
  <c r="H78" i="18"/>
  <c r="H82" i="18"/>
  <c r="H99" i="18"/>
  <c r="H101" i="18" s="1"/>
  <c r="E81" i="18"/>
  <c r="G98" i="18"/>
  <c r="G100" i="18" s="1"/>
  <c r="E23" i="7"/>
  <c r="H23" i="7" s="1"/>
  <c r="F30" i="1" s="1"/>
  <c r="F81" i="18"/>
  <c r="F101" i="18"/>
  <c r="O23" i="1"/>
  <c r="I13" i="1"/>
  <c r="N13" i="1" s="1"/>
  <c r="O97" i="1"/>
  <c r="J21" i="1"/>
  <c r="I22" i="1"/>
  <c r="N22" i="1" s="1"/>
  <c r="G101" i="18"/>
  <c r="H83" i="7"/>
  <c r="F70" i="1" s="1"/>
  <c r="A70" i="1" s="1"/>
  <c r="M21" i="1"/>
  <c r="L21" i="1"/>
  <c r="O21" i="1" s="1"/>
  <c r="L18" i="1"/>
  <c r="O18" i="1" s="1"/>
  <c r="M18" i="1"/>
  <c r="M22" i="1"/>
  <c r="I18" i="1"/>
  <c r="N18" i="1" s="1"/>
  <c r="H36" i="7"/>
  <c r="F41" i="1" s="1"/>
  <c r="H97" i="18"/>
  <c r="J15" i="1"/>
  <c r="I15" i="1"/>
  <c r="N15" i="1" s="1"/>
  <c r="F68" i="1"/>
  <c r="A68" i="1" s="1"/>
  <c r="I19" i="1"/>
  <c r="N19" i="1" s="1"/>
  <c r="L19" i="1"/>
  <c r="O19" i="1" s="1"/>
  <c r="J19" i="1"/>
  <c r="M15" i="1"/>
  <c r="O22" i="1"/>
  <c r="O94" i="1"/>
  <c r="H24" i="7"/>
  <c r="F31" i="1" s="1"/>
  <c r="L20" i="1"/>
  <c r="O20" i="1" s="1"/>
  <c r="M20" i="1"/>
  <c r="O26" i="1"/>
  <c r="G80" i="18"/>
  <c r="G82" i="18" s="1"/>
  <c r="I20" i="1"/>
  <c r="N20" i="1" s="1"/>
  <c r="E78" i="18"/>
  <c r="O17" i="1"/>
  <c r="O95" i="1"/>
  <c r="I98" i="18"/>
  <c r="M13" i="1"/>
  <c r="J20" i="1"/>
  <c r="L13" i="1"/>
  <c r="O13" i="1" s="1"/>
  <c r="H5" i="7"/>
  <c r="F12" i="1" s="1"/>
  <c r="O15" i="1"/>
  <c r="O93" i="1"/>
  <c r="I80" i="18"/>
  <c r="I82" i="18" s="1"/>
  <c r="M16" i="1"/>
  <c r="O96" i="1"/>
  <c r="F66" i="1"/>
  <c r="O16" i="1"/>
  <c r="O25" i="1"/>
  <c r="O27" i="1"/>
  <c r="J16" i="1"/>
  <c r="J17" i="1"/>
  <c r="J14" i="1"/>
  <c r="L14" i="1"/>
  <c r="O14" i="1" s="1"/>
  <c r="I17" i="1"/>
  <c r="N17" i="1" s="1"/>
  <c r="M14" i="1"/>
  <c r="M17" i="1"/>
  <c r="J22" i="1"/>
  <c r="E21" i="7" l="1"/>
  <c r="H21" i="7" s="1"/>
  <c r="F28" i="1" s="1"/>
  <c r="A28" i="1" s="1"/>
  <c r="E49" i="7"/>
  <c r="H49" i="7" s="1"/>
  <c r="F54" i="1" s="1"/>
  <c r="L53" i="7"/>
  <c r="L55" i="7" s="1"/>
  <c r="H53" i="7"/>
  <c r="E70" i="7"/>
  <c r="L57" i="7"/>
  <c r="K59" i="7"/>
  <c r="L59" i="7" s="1"/>
  <c r="B24" i="22" s="1"/>
  <c r="C24" i="22" s="1"/>
  <c r="L56" i="7"/>
  <c r="D184" i="20"/>
  <c r="A56" i="1"/>
  <c r="A102" i="1"/>
  <c r="H120" i="7"/>
  <c r="O32" i="1"/>
  <c r="A34" i="1"/>
  <c r="O34" i="1"/>
  <c r="A33" i="1"/>
  <c r="O33" i="1"/>
  <c r="A35" i="1"/>
  <c r="O35" i="1"/>
  <c r="O74" i="1"/>
  <c r="A74" i="1"/>
  <c r="O72" i="1"/>
  <c r="A72" i="1"/>
  <c r="H84" i="7"/>
  <c r="F71" i="1" s="1"/>
  <c r="A71" i="1" s="1"/>
  <c r="O88" i="1"/>
  <c r="F100" i="1"/>
  <c r="F83" i="18"/>
  <c r="F114" i="18" s="1"/>
  <c r="F115" i="18" s="1"/>
  <c r="H78" i="7"/>
  <c r="F67" i="1" s="1"/>
  <c r="G83" i="18"/>
  <c r="G114" i="18" s="1"/>
  <c r="O57" i="1"/>
  <c r="O66" i="1"/>
  <c r="A66" i="1"/>
  <c r="O12" i="1"/>
  <c r="A12" i="1"/>
  <c r="O81" i="1"/>
  <c r="A81" i="1"/>
  <c r="O41" i="1"/>
  <c r="A41" i="1"/>
  <c r="O52" i="1"/>
  <c r="A52" i="1"/>
  <c r="O101" i="1"/>
  <c r="A101" i="1"/>
  <c r="O53" i="1"/>
  <c r="A53" i="1"/>
  <c r="O98" i="1"/>
  <c r="A98" i="1"/>
  <c r="O59" i="1"/>
  <c r="A59" i="1"/>
  <c r="O30" i="1"/>
  <c r="A30" i="1"/>
  <c r="O80" i="1"/>
  <c r="A80" i="1"/>
  <c r="O31" i="1"/>
  <c r="A31" i="1"/>
  <c r="O68" i="1"/>
  <c r="O70" i="1"/>
  <c r="H102" i="18"/>
  <c r="H116" i="18" s="1"/>
  <c r="G102" i="18"/>
  <c r="G116" i="18" s="1"/>
  <c r="H83" i="18"/>
  <c r="H114" i="18" s="1"/>
  <c r="F102" i="18"/>
  <c r="F116" i="18" s="1"/>
  <c r="E83" i="18"/>
  <c r="E114" i="18" s="1"/>
  <c r="I100" i="18"/>
  <c r="I102" i="18" s="1"/>
  <c r="E22" i="7"/>
  <c r="H22" i="7" s="1"/>
  <c r="F29" i="1" s="1"/>
  <c r="E50" i="7"/>
  <c r="H50" i="7" s="1"/>
  <c r="F55" i="1" s="1"/>
  <c r="I83" i="18"/>
  <c r="I114" i="18" s="1"/>
  <c r="I115" i="18" s="1"/>
  <c r="O28" i="1" l="1"/>
  <c r="O54" i="1"/>
  <c r="A54" i="1"/>
  <c r="F45" i="18"/>
  <c r="E38" i="7" s="1"/>
  <c r="H38" i="7" s="1"/>
  <c r="F43" i="1" s="1"/>
  <c r="A43" i="1" s="1"/>
  <c r="E109" i="7"/>
  <c r="H109" i="7" s="1"/>
  <c r="F92" i="1" s="1"/>
  <c r="A92" i="1" s="1"/>
  <c r="E104" i="7"/>
  <c r="H104" i="7" s="1"/>
  <c r="F90" i="1" s="1"/>
  <c r="O90" i="1" s="1"/>
  <c r="E101" i="7"/>
  <c r="H101" i="7" s="1"/>
  <c r="F89" i="1" s="1"/>
  <c r="O89" i="1" s="1"/>
  <c r="N56" i="7"/>
  <c r="B25" i="22"/>
  <c r="C25" i="22" s="1"/>
  <c r="C80" i="22" s="1"/>
  <c r="F58" i="1"/>
  <c r="O58" i="1" s="1"/>
  <c r="E87" i="7"/>
  <c r="H87" i="7" s="1"/>
  <c r="F73" i="1" s="1"/>
  <c r="O71" i="1"/>
  <c r="G115" i="18"/>
  <c r="G45" i="18"/>
  <c r="E39" i="7" s="1"/>
  <c r="H39" i="7" s="1"/>
  <c r="F44" i="1" s="1"/>
  <c r="H115" i="18"/>
  <c r="H45" i="18" s="1"/>
  <c r="E40" i="7" s="1"/>
  <c r="H40" i="7" s="1"/>
  <c r="F45" i="1" s="1"/>
  <c r="O45" i="1" s="1"/>
  <c r="I116" i="18"/>
  <c r="I45" i="18" s="1"/>
  <c r="E41" i="7" s="1"/>
  <c r="H41" i="7" s="1"/>
  <c r="F46" i="1" s="1"/>
  <c r="O46" i="1" s="1"/>
  <c r="E115" i="18"/>
  <c r="E45" i="18" s="1"/>
  <c r="E37" i="7" s="1"/>
  <c r="H37" i="7" s="1"/>
  <c r="F42" i="1" s="1"/>
  <c r="E107" i="7"/>
  <c r="H107" i="7" s="1"/>
  <c r="F91" i="1" s="1"/>
  <c r="O91" i="1" s="1"/>
  <c r="H70" i="7"/>
  <c r="F65" i="1" s="1"/>
  <c r="O65" i="1" s="1"/>
  <c r="O100" i="1"/>
  <c r="A100" i="1"/>
  <c r="A67" i="1"/>
  <c r="O67" i="1"/>
  <c r="O84" i="1"/>
  <c r="Q80" i="1" s="1"/>
  <c r="O55" i="1"/>
  <c r="A55" i="1"/>
  <c r="O29" i="1"/>
  <c r="A29" i="1"/>
  <c r="O37" i="1" l="1"/>
  <c r="Q20" i="1" s="1"/>
  <c r="C79" i="22"/>
  <c r="C78" i="22"/>
  <c r="B73" i="22" s="1"/>
  <c r="A58" i="1"/>
  <c r="A73" i="1"/>
  <c r="O73" i="1"/>
  <c r="O76" i="1" s="1"/>
  <c r="A90" i="1"/>
  <c r="A46" i="1"/>
  <c r="A91" i="1"/>
  <c r="O92" i="1"/>
  <c r="O104" i="1" s="1"/>
  <c r="Q100" i="1" s="1"/>
  <c r="A65" i="1"/>
  <c r="O43" i="1"/>
  <c r="C28" i="9"/>
  <c r="Q82" i="1"/>
  <c r="Q15" i="1"/>
  <c r="Q81" i="1"/>
  <c r="Q83" i="1"/>
  <c r="A45" i="1"/>
  <c r="O44" i="1"/>
  <c r="A44" i="1"/>
  <c r="Q23" i="1"/>
  <c r="Q32" i="1"/>
  <c r="Q26" i="1"/>
  <c r="Q13" i="1"/>
  <c r="Q24" i="1"/>
  <c r="Q31" i="1"/>
  <c r="Q16" i="1"/>
  <c r="Q35" i="1"/>
  <c r="C25" i="9"/>
  <c r="Q18" i="1"/>
  <c r="Q33" i="1"/>
  <c r="Q30" i="1"/>
  <c r="Q19" i="1"/>
  <c r="Q25" i="1"/>
  <c r="Q14" i="1"/>
  <c r="Q36" i="1"/>
  <c r="Q29" i="1"/>
  <c r="Q17" i="1"/>
  <c r="Q34" i="1"/>
  <c r="Q21" i="1"/>
  <c r="O42" i="1"/>
  <c r="A42" i="1"/>
  <c r="Q12" i="1" l="1"/>
  <c r="Q28" i="1"/>
  <c r="Q27" i="1"/>
  <c r="Q22" i="1"/>
  <c r="Q89" i="1"/>
  <c r="Q70" i="1"/>
  <c r="Q74" i="1"/>
  <c r="Q73" i="1"/>
  <c r="Q67" i="1"/>
  <c r="Q69" i="1"/>
  <c r="Q72" i="1"/>
  <c r="C27" i="9"/>
  <c r="Q68" i="1"/>
  <c r="Q66" i="1"/>
  <c r="Q71" i="1"/>
  <c r="Q75" i="1"/>
  <c r="Q65" i="1"/>
  <c r="O61" i="1"/>
  <c r="Q88" i="1"/>
  <c r="Q90" i="1"/>
  <c r="Q101" i="1"/>
  <c r="Q92" i="1"/>
  <c r="Q96" i="1"/>
  <c r="Q99" i="1"/>
  <c r="Q98" i="1"/>
  <c r="Q97" i="1"/>
  <c r="Q102" i="1"/>
  <c r="C29" i="9"/>
  <c r="Q95" i="1"/>
  <c r="Q93" i="1"/>
  <c r="Q103" i="1"/>
  <c r="Q91" i="1"/>
  <c r="Q94" i="1"/>
  <c r="Q44" i="1" l="1"/>
  <c r="Q58" i="1"/>
  <c r="Q47" i="1"/>
  <c r="Q60" i="1"/>
  <c r="Q51" i="1"/>
  <c r="Q52" i="1"/>
  <c r="Q50" i="1"/>
  <c r="Q59" i="1"/>
  <c r="Q46" i="1"/>
  <c r="Q57" i="1"/>
  <c r="Q56" i="1"/>
  <c r="Q55" i="1"/>
  <c r="Q45" i="1"/>
  <c r="Q41" i="1"/>
  <c r="Q53" i="1"/>
  <c r="Q48" i="1"/>
  <c r="Q54" i="1"/>
  <c r="Q43" i="1"/>
  <c r="C26" i="9"/>
  <c r="H29" i="9" s="1"/>
  <c r="Q107" i="1"/>
  <c r="C23" i="9" s="1"/>
  <c r="H23" i="9" s="1"/>
  <c r="C32" i="9" s="1"/>
  <c r="Q49" i="1"/>
  <c r="Q42" i="1"/>
  <c r="H26" i="9" l="1"/>
  <c r="H25" i="9"/>
  <c r="H28" i="9"/>
  <c r="H27" i="9"/>
  <c r="R89" i="1"/>
  <c r="B12" i="11"/>
  <c r="R74" i="1"/>
  <c r="R73" i="1"/>
  <c r="R75" i="1"/>
  <c r="R58" i="1"/>
  <c r="R24" i="1"/>
  <c r="R46" i="1"/>
  <c r="R91" i="1"/>
  <c r="R17" i="1"/>
  <c r="R26" i="1"/>
  <c r="R69" i="1"/>
  <c r="R52" i="1"/>
  <c r="R12" i="1"/>
  <c r="R22" i="1"/>
  <c r="R98" i="1"/>
  <c r="R42" i="1"/>
  <c r="R53" i="1"/>
  <c r="R90" i="1"/>
  <c r="R32" i="1"/>
  <c r="R80" i="1"/>
  <c r="R48" i="1"/>
  <c r="R36" i="1"/>
  <c r="R71" i="1"/>
  <c r="R70" i="1"/>
  <c r="R29" i="1"/>
  <c r="R82" i="1"/>
  <c r="R35" i="1"/>
  <c r="R50" i="1"/>
  <c r="R20" i="1"/>
  <c r="R95" i="1"/>
  <c r="R21" i="1"/>
  <c r="R93" i="1"/>
  <c r="R103" i="1"/>
  <c r="R81" i="1"/>
  <c r="R100" i="1"/>
  <c r="R19" i="1"/>
  <c r="R34" i="1"/>
  <c r="R88" i="1"/>
  <c r="R55" i="1"/>
  <c r="R56" i="1"/>
  <c r="R54" i="1"/>
  <c r="R57" i="1"/>
  <c r="R66" i="1"/>
  <c r="R72" i="1"/>
  <c r="R33" i="1"/>
  <c r="R43" i="1"/>
  <c r="R28" i="1"/>
  <c r="R68" i="1"/>
  <c r="R25" i="1"/>
  <c r="R18" i="1"/>
  <c r="R65" i="1"/>
  <c r="R51" i="1"/>
  <c r="R94" i="1"/>
  <c r="R14" i="1"/>
  <c r="R83" i="1"/>
  <c r="R96" i="1"/>
  <c r="R31" i="1"/>
  <c r="R102" i="1"/>
  <c r="R44" i="1"/>
  <c r="R60" i="1"/>
  <c r="R45" i="1"/>
  <c r="R47" i="1"/>
  <c r="R16" i="1"/>
  <c r="R23" i="1"/>
  <c r="R30" i="1"/>
  <c r="R27" i="1"/>
  <c r="R41" i="1"/>
  <c r="R59" i="1"/>
  <c r="R13" i="1"/>
  <c r="R15" i="1"/>
  <c r="R99" i="1"/>
  <c r="R49" i="1"/>
  <c r="R67" i="1"/>
  <c r="R101" i="1"/>
  <c r="R92" i="1"/>
  <c r="R97" i="1"/>
  <c r="S20" i="1" l="1"/>
  <c r="C37" i="9" s="1"/>
  <c r="S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itoh</author>
    <author>ITOH</author>
  </authors>
  <commentList>
    <comment ref="C23" authorId="0" shapeId="0" xr:uid="{00000000-0006-0000-0600-000001000000}">
      <text>
        <r>
          <rPr>
            <sz val="9"/>
            <color indexed="81"/>
            <rFont val="ＭＳ Ｐゴシック"/>
            <family val="3"/>
            <charset val="128"/>
          </rPr>
          <t>データ入力と算定結果の合計欄の数値を四捨五入し、2桁で記載してください。
4桁以上の値になる場合は「，」を入れてください。（または単位の検討をしてください）
　（「4,500㎏」または「4.5ｔ」など）</t>
        </r>
      </text>
    </comment>
    <comment ref="C32" authorId="1" shapeId="0" xr:uid="{00000000-0006-0000-0600-000002000000}">
      <text>
        <r>
          <rPr>
            <sz val="9"/>
            <color indexed="81"/>
            <rFont val="ＭＳ Ｐゴシック"/>
            <family val="3"/>
            <charset val="128"/>
          </rPr>
          <t>「kg」等の単位を入れてください。
秤のマークの皿の上に乗せる場合の記載です。</t>
        </r>
      </text>
    </comment>
    <comment ref="E32" authorId="0" shapeId="0" xr:uid="{00000000-0006-0000-0600-000003000000}">
      <text>
        <r>
          <rPr>
            <sz val="9"/>
            <color indexed="81"/>
            <rFont val="ＭＳ Ｐゴシック"/>
            <family val="3"/>
            <charset val="128"/>
          </rPr>
          <t xml:space="preserve">「製品1個あたり」などの
単位を入れてください。
</t>
        </r>
      </text>
    </comment>
    <comment ref="C37" authorId="0" shapeId="0" xr:uid="{00000000-0006-0000-0600-000004000000}">
      <text>
        <r>
          <rPr>
            <sz val="9"/>
            <color indexed="81"/>
            <rFont val="ＭＳ Ｐゴシック"/>
            <family val="3"/>
            <charset val="128"/>
          </rPr>
          <t>記入例を参考に、結果の不確実性に関する記述も必ず記載してください。</t>
        </r>
      </text>
    </comment>
  </commentList>
</comments>
</file>

<file path=xl/sharedStrings.xml><?xml version="1.0" encoding="utf-8"?>
<sst xmlns="http://schemas.openxmlformats.org/spreadsheetml/2006/main" count="3364" uniqueCount="1346">
  <si>
    <t>申請日</t>
    <rPh sb="0" eb="2">
      <t>シンセイ</t>
    </rPh>
    <rPh sb="2" eb="3">
      <t>ビ</t>
    </rPh>
    <phoneticPr fontId="10"/>
  </si>
  <si>
    <t>年</t>
    <rPh sb="0" eb="1">
      <t>ネン</t>
    </rPh>
    <phoneticPr fontId="10"/>
  </si>
  <si>
    <t>検証申請者の連絡先等</t>
    <rPh sb="0" eb="2">
      <t>ケンショウ</t>
    </rPh>
    <rPh sb="2" eb="5">
      <t>シンセイシャ</t>
    </rPh>
    <rPh sb="6" eb="9">
      <t>レンラクサキ</t>
    </rPh>
    <rPh sb="9" eb="10">
      <t>ナド</t>
    </rPh>
    <phoneticPr fontId="10"/>
  </si>
  <si>
    <t>部署名等</t>
    <rPh sb="0" eb="2">
      <t>ブショ</t>
    </rPh>
    <rPh sb="2" eb="3">
      <t>メイ</t>
    </rPh>
    <rPh sb="3" eb="4">
      <t>トウ</t>
    </rPh>
    <phoneticPr fontId="10"/>
  </si>
  <si>
    <t>役職等</t>
    <rPh sb="0" eb="3">
      <t>ヤクショクトウ</t>
    </rPh>
    <phoneticPr fontId="10"/>
  </si>
  <si>
    <t>所在地</t>
    <rPh sb="0" eb="3">
      <t>ショザイチ</t>
    </rPh>
    <phoneticPr fontId="10"/>
  </si>
  <si>
    <t>氏　名</t>
    <rPh sb="0" eb="1">
      <t>し</t>
    </rPh>
    <rPh sb="2" eb="3">
      <t>めい</t>
    </rPh>
    <phoneticPr fontId="10" type="Hiragana"/>
  </si>
  <si>
    <t>月</t>
    <rPh sb="0" eb="1">
      <t>ツキ</t>
    </rPh>
    <phoneticPr fontId="10"/>
  </si>
  <si>
    <t>数値</t>
    <rPh sb="0" eb="2">
      <t>スウチ</t>
    </rPh>
    <phoneticPr fontId="10"/>
  </si>
  <si>
    <t>ｋｇ</t>
    <phoneticPr fontId="10"/>
  </si>
  <si>
    <t>サブ
タイトル</t>
    <phoneticPr fontId="10"/>
  </si>
  <si>
    <t>原材料調達段階</t>
  </si>
  <si>
    <t>生産段階</t>
    <rPh sb="0" eb="2">
      <t>セイサン</t>
    </rPh>
    <phoneticPr fontId="10"/>
  </si>
  <si>
    <t>使用・維持管理段階</t>
  </si>
  <si>
    <t>廃棄・リサイクル段階</t>
  </si>
  <si>
    <t>単位</t>
    <rPh sb="0" eb="2">
      <t>タンイ</t>
    </rPh>
    <phoneticPr fontId="10"/>
  </si>
  <si>
    <t>項目名</t>
    <rPh sb="0" eb="2">
      <t>コウモク</t>
    </rPh>
    <rPh sb="2" eb="3">
      <t>メイ</t>
    </rPh>
    <phoneticPr fontId="10"/>
  </si>
  <si>
    <t>活動量</t>
    <rPh sb="0" eb="2">
      <t>カツドウ</t>
    </rPh>
    <rPh sb="2" eb="3">
      <t>リョウ</t>
    </rPh>
    <phoneticPr fontId="10"/>
  </si>
  <si>
    <t>原単位</t>
    <rPh sb="0" eb="3">
      <t>ゲンタンイ</t>
    </rPh>
    <phoneticPr fontId="10"/>
  </si>
  <si>
    <t>区分</t>
    <rPh sb="0" eb="2">
      <t>クブン</t>
    </rPh>
    <phoneticPr fontId="10"/>
  </si>
  <si>
    <t>プロセス名</t>
    <rPh sb="4" eb="5">
      <t>メイ</t>
    </rPh>
    <phoneticPr fontId="10"/>
  </si>
  <si>
    <t>参照
箇所</t>
    <rPh sb="0" eb="2">
      <t>サンショウ</t>
    </rPh>
    <rPh sb="3" eb="5">
      <t>カショ</t>
    </rPh>
    <phoneticPr fontId="10"/>
  </si>
  <si>
    <t>原単位名</t>
    <rPh sb="0" eb="3">
      <t>ゲンタンイ</t>
    </rPh>
    <rPh sb="3" eb="4">
      <t>メイ</t>
    </rPh>
    <phoneticPr fontId="10"/>
  </si>
  <si>
    <t>活動量の区分</t>
    <rPh sb="0" eb="2">
      <t>カツドウ</t>
    </rPh>
    <rPh sb="2" eb="3">
      <t>リョウ</t>
    </rPh>
    <rPh sb="4" eb="6">
      <t>クブン</t>
    </rPh>
    <phoneticPr fontId="10"/>
  </si>
  <si>
    <t>原単位の区分</t>
    <rPh sb="0" eb="3">
      <t>ゲンタンイ</t>
    </rPh>
    <rPh sb="4" eb="6">
      <t>クブン</t>
    </rPh>
    <phoneticPr fontId="10"/>
  </si>
  <si>
    <t>１次</t>
    <rPh sb="1" eb="2">
      <t>ジ</t>
    </rPh>
    <phoneticPr fontId="10"/>
  </si>
  <si>
    <t>（１）原材料調達段階</t>
    <rPh sb="3" eb="6">
      <t>ゲンザイリョウ</t>
    </rPh>
    <rPh sb="6" eb="8">
      <t>チョウタツ</t>
    </rPh>
    <rPh sb="8" eb="10">
      <t>ダンカイ</t>
    </rPh>
    <phoneticPr fontId="10"/>
  </si>
  <si>
    <t>（２）生産段階</t>
    <rPh sb="3" eb="5">
      <t>セイサン</t>
    </rPh>
    <rPh sb="5" eb="7">
      <t>ダンカイ</t>
    </rPh>
    <phoneticPr fontId="10"/>
  </si>
  <si>
    <t>（４）使用・維持段階</t>
    <rPh sb="3" eb="5">
      <t>シヨウ</t>
    </rPh>
    <rPh sb="6" eb="8">
      <t>イジ</t>
    </rPh>
    <rPh sb="8" eb="10">
      <t>ダンカイ</t>
    </rPh>
    <phoneticPr fontId="10"/>
  </si>
  <si>
    <t>（５）廃棄・リサイクル段階</t>
    <rPh sb="3" eb="5">
      <t>ハイキ</t>
    </rPh>
    <rPh sb="11" eb="13">
      <t>ダンカイ</t>
    </rPh>
    <phoneticPr fontId="10"/>
  </si>
  <si>
    <t>活動量
／原単位</t>
    <rPh sb="0" eb="2">
      <t>カツドウ</t>
    </rPh>
    <rPh sb="2" eb="3">
      <t>リョウ</t>
    </rPh>
    <rPh sb="5" eb="8">
      <t>ゲンタンイ</t>
    </rPh>
    <phoneticPr fontId="10"/>
  </si>
  <si>
    <t>参照
番号</t>
    <rPh sb="0" eb="2">
      <t>サンショウ</t>
    </rPh>
    <rPh sb="3" eb="5">
      <t>バンゴウ</t>
    </rPh>
    <phoneticPr fontId="10"/>
  </si>
  <si>
    <t>備　考</t>
    <rPh sb="0" eb="1">
      <t>ビン</t>
    </rPh>
    <rPh sb="2" eb="3">
      <t>コウ</t>
    </rPh>
    <phoneticPr fontId="10"/>
  </si>
  <si>
    <r>
      <t>CO</t>
    </r>
    <r>
      <rPr>
        <b/>
        <sz val="8"/>
        <rFont val="ＭＳ Ｐゴシック"/>
        <family val="3"/>
        <charset val="128"/>
      </rPr>
      <t>2</t>
    </r>
    <r>
      <rPr>
        <b/>
        <sz val="11"/>
        <rFont val="ＭＳ Ｐゴシック"/>
        <family val="3"/>
        <charset val="128"/>
      </rPr>
      <t>e</t>
    </r>
    <phoneticPr fontId="10"/>
  </si>
  <si>
    <t>サブ
タイトル</t>
    <phoneticPr fontId="10"/>
  </si>
  <si>
    <t>ｋｇ</t>
    <phoneticPr fontId="10"/>
  </si>
  <si>
    <t>サブ
タイトル</t>
    <phoneticPr fontId="10"/>
  </si>
  <si>
    <t>（３）流通段階</t>
    <rPh sb="3" eb="5">
      <t>リュウツウ</t>
    </rPh>
    <rPh sb="5" eb="7">
      <t>ダンカイ</t>
    </rPh>
    <phoneticPr fontId="10"/>
  </si>
  <si>
    <t>流通段階</t>
    <phoneticPr fontId="10"/>
  </si>
  <si>
    <t>小計</t>
    <rPh sb="0" eb="2">
      <t>ショウケイ</t>
    </rPh>
    <phoneticPr fontId="10"/>
  </si>
  <si>
    <t>非公開資料</t>
    <rPh sb="0" eb="3">
      <t>ヒコウカイ</t>
    </rPh>
    <rPh sb="3" eb="5">
      <t>シリョウ</t>
    </rPh>
    <phoneticPr fontId="10"/>
  </si>
  <si>
    <t>製品の主要仕様・諸元</t>
    <rPh sb="0" eb="2">
      <t>セイヒン</t>
    </rPh>
    <rPh sb="3" eb="5">
      <t>シュヨウ</t>
    </rPh>
    <rPh sb="5" eb="7">
      <t>シヨウ</t>
    </rPh>
    <rPh sb="8" eb="9">
      <t>ショ</t>
    </rPh>
    <rPh sb="9" eb="10">
      <t>ゲン</t>
    </rPh>
    <phoneticPr fontId="10"/>
  </si>
  <si>
    <t>検証番号</t>
    <rPh sb="0" eb="2">
      <t>ケンショウ</t>
    </rPh>
    <rPh sb="2" eb="4">
      <t>バンゴウ</t>
    </rPh>
    <phoneticPr fontId="10"/>
  </si>
  <si>
    <t>製品型式</t>
    <rPh sb="0" eb="2">
      <t>セイヒン</t>
    </rPh>
    <rPh sb="2" eb="4">
      <t>カタシキ</t>
    </rPh>
    <phoneticPr fontId="10"/>
  </si>
  <si>
    <t>備考</t>
    <rPh sb="0" eb="2">
      <t>ビコウ</t>
    </rPh>
    <phoneticPr fontId="10"/>
  </si>
  <si>
    <t>１．製品情報</t>
    <rPh sb="2" eb="4">
      <t>セイヒン</t>
    </rPh>
    <phoneticPr fontId="10"/>
  </si>
  <si>
    <t>CFP算定単位</t>
    <rPh sb="3" eb="5">
      <t>サンテイ</t>
    </rPh>
    <rPh sb="5" eb="7">
      <t>タンイ</t>
    </rPh>
    <phoneticPr fontId="10"/>
  </si>
  <si>
    <t>（申請時には記入不要です）</t>
    <rPh sb="1" eb="3">
      <t>シンセイ</t>
    </rPh>
    <rPh sb="3" eb="4">
      <t>ジ</t>
    </rPh>
    <rPh sb="6" eb="8">
      <t>キニュウ</t>
    </rPh>
    <rPh sb="8" eb="10">
      <t>フヨウ</t>
    </rPh>
    <phoneticPr fontId="10"/>
  </si>
  <si>
    <t xml:space="preserve">＜記載内容＞
</t>
    <rPh sb="1" eb="3">
      <t>キサイ</t>
    </rPh>
    <rPh sb="3" eb="5">
      <t>ナイヨウ</t>
    </rPh>
    <phoneticPr fontId="10"/>
  </si>
  <si>
    <t>【注意事項】</t>
    <rPh sb="1" eb="3">
      <t>チュウイ</t>
    </rPh>
    <rPh sb="3" eb="5">
      <t>ジコウ</t>
    </rPh>
    <phoneticPr fontId="10"/>
  </si>
  <si>
    <t>データ入力と算出結果の詳細</t>
    <rPh sb="3" eb="5">
      <t>ニュウリョク</t>
    </rPh>
    <rPh sb="6" eb="8">
      <t>サンシュツ</t>
    </rPh>
    <rPh sb="8" eb="10">
      <t>ケッカ</t>
    </rPh>
    <rPh sb="11" eb="13">
      <t>ショウサイ</t>
    </rPh>
    <phoneticPr fontId="10"/>
  </si>
  <si>
    <t>申請者名</t>
    <rPh sb="0" eb="3">
      <t>シンセイシャ</t>
    </rPh>
    <rPh sb="3" eb="4">
      <t>メイ</t>
    </rPh>
    <phoneticPr fontId="10"/>
  </si>
  <si>
    <t>対象製品</t>
    <rPh sb="0" eb="2">
      <t>タイショウ</t>
    </rPh>
    <rPh sb="2" eb="4">
      <t>セイヒン</t>
    </rPh>
    <phoneticPr fontId="10"/>
  </si>
  <si>
    <t>＊「活動量」の数値は検証されます。</t>
    <rPh sb="2" eb="4">
      <t>カツドウ</t>
    </rPh>
    <rPh sb="4" eb="5">
      <t>リョウ</t>
    </rPh>
    <rPh sb="7" eb="9">
      <t>スウチ</t>
    </rPh>
    <rPh sb="10" eb="12">
      <t>ケンショウ</t>
    </rPh>
    <phoneticPr fontId="10"/>
  </si>
  <si>
    <t>事業者名（日本語）</t>
    <rPh sb="0" eb="3">
      <t>ジギョウシャ</t>
    </rPh>
    <rPh sb="5" eb="8">
      <t>ニホンゴ</t>
    </rPh>
    <phoneticPr fontId="10"/>
  </si>
  <si>
    <t>事業者名（英語）</t>
    <rPh sb="0" eb="3">
      <t>ジギョウシャ</t>
    </rPh>
    <rPh sb="5" eb="7">
      <t>エイゴ</t>
    </rPh>
    <phoneticPr fontId="10"/>
  </si>
  <si>
    <t>データの根拠：活動量及び原単位のデータ入手方法、計算式、式の説明、データ収集期間、等</t>
    <rPh sb="4" eb="6">
      <t>コンキョ</t>
    </rPh>
    <rPh sb="7" eb="9">
      <t>カツドウ</t>
    </rPh>
    <rPh sb="9" eb="10">
      <t>リョウ</t>
    </rPh>
    <rPh sb="10" eb="11">
      <t>オヨ</t>
    </rPh>
    <rPh sb="12" eb="15">
      <t>ゲンタンイ</t>
    </rPh>
    <rPh sb="19" eb="21">
      <t>ニュウシュ</t>
    </rPh>
    <rPh sb="21" eb="23">
      <t>ホウホウ</t>
    </rPh>
    <rPh sb="24" eb="26">
      <t>ケイサン</t>
    </rPh>
    <rPh sb="26" eb="27">
      <t>シキ</t>
    </rPh>
    <rPh sb="28" eb="29">
      <t>シキ</t>
    </rPh>
    <rPh sb="30" eb="32">
      <t>セツメイ</t>
    </rPh>
    <rPh sb="36" eb="38">
      <t>シュウシュウ</t>
    </rPh>
    <rPh sb="38" eb="40">
      <t>キカン</t>
    </rPh>
    <rPh sb="41" eb="42">
      <t>トウ</t>
    </rPh>
    <phoneticPr fontId="10"/>
  </si>
  <si>
    <t>その他</t>
    <rPh sb="2" eb="3">
      <t>タ</t>
    </rPh>
    <phoneticPr fontId="10"/>
  </si>
  <si>
    <t>カーボンフットプリント（CFP）検証申請書</t>
    <rPh sb="16" eb="18">
      <t>ケンショウ</t>
    </rPh>
    <rPh sb="18" eb="21">
      <t>シンセイショ</t>
    </rPh>
    <phoneticPr fontId="10"/>
  </si>
  <si>
    <t>都道府県</t>
    <rPh sb="0" eb="4">
      <t>トドウフケン</t>
    </rPh>
    <phoneticPr fontId="10"/>
  </si>
  <si>
    <t>氏</t>
    <rPh sb="0" eb="1">
      <t>シ</t>
    </rPh>
    <phoneticPr fontId="10"/>
  </si>
  <si>
    <t>名</t>
    <rPh sb="0" eb="1">
      <t>メイ</t>
    </rPh>
    <phoneticPr fontId="10"/>
  </si>
  <si>
    <t>携帯</t>
    <rPh sb="0" eb="2">
      <t>ケイタイ</t>
    </rPh>
    <phoneticPr fontId="10"/>
  </si>
  <si>
    <t>ビル名等</t>
    <rPh sb="2" eb="3">
      <t>メイ</t>
    </rPh>
    <rPh sb="3" eb="4">
      <t>トウ</t>
    </rPh>
    <phoneticPr fontId="10"/>
  </si>
  <si>
    <t>登録番号</t>
    <rPh sb="0" eb="2">
      <t>トウロク</t>
    </rPh>
    <rPh sb="2" eb="4">
      <t>バンゴウ</t>
    </rPh>
    <phoneticPr fontId="10"/>
  </si>
  <si>
    <r>
      <t>〒　</t>
    </r>
    <r>
      <rPr>
        <sz val="9"/>
        <rFont val="HG丸ｺﾞｼｯｸM-PRO"/>
        <family val="3"/>
        <charset val="128"/>
      </rPr>
      <t>※半角</t>
    </r>
    <rPh sb="3" eb="5">
      <t>ハンカク</t>
    </rPh>
    <phoneticPr fontId="10"/>
  </si>
  <si>
    <t>市区郡以下</t>
    <rPh sb="0" eb="2">
      <t>シク</t>
    </rPh>
    <rPh sb="2" eb="3">
      <t>グン</t>
    </rPh>
    <rPh sb="3" eb="5">
      <t>イカ</t>
    </rPh>
    <phoneticPr fontId="10"/>
  </si>
  <si>
    <t>・最新版の認定CFP-PCRに基づいて計算されていることを必ずご確認下さい。
　（CFPウェブサイト〔http://www.cfp-japan.jp/〕にて最新版CFP-PCRのダウンロードが可能です。）</t>
    <rPh sb="1" eb="4">
      <t>サイシンバン</t>
    </rPh>
    <rPh sb="5" eb="7">
      <t>ニンテイ</t>
    </rPh>
    <rPh sb="15" eb="16">
      <t>モト</t>
    </rPh>
    <rPh sb="19" eb="21">
      <t>ケイサン</t>
    </rPh>
    <rPh sb="29" eb="30">
      <t>カナラ</t>
    </rPh>
    <rPh sb="32" eb="34">
      <t>カクニン</t>
    </rPh>
    <rPh sb="34" eb="35">
      <t>クダ</t>
    </rPh>
    <rPh sb="96" eb="98">
      <t>カノウ</t>
    </rPh>
    <phoneticPr fontId="10"/>
  </si>
  <si>
    <t>数値情報を表示する場合のイメージ（案）</t>
    <rPh sb="0" eb="2">
      <t>スウチ</t>
    </rPh>
    <rPh sb="2" eb="4">
      <t>ジョウホウ</t>
    </rPh>
    <rPh sb="5" eb="7">
      <t>ヒョウジ</t>
    </rPh>
    <rPh sb="9" eb="11">
      <t>バアイ</t>
    </rPh>
    <rPh sb="17" eb="18">
      <t>アン</t>
    </rPh>
    <phoneticPr fontId="10"/>
  </si>
  <si>
    <t>基本</t>
    <rPh sb="0" eb="2">
      <t>キホン</t>
    </rPh>
    <phoneticPr fontId="10"/>
  </si>
  <si>
    <t>基本データベースの原単位</t>
    <rPh sb="0" eb="2">
      <t>キホン</t>
    </rPh>
    <rPh sb="9" eb="12">
      <t>ゲンタンイ</t>
    </rPh>
    <phoneticPr fontId="10"/>
  </si>
  <si>
    <t>数値表示</t>
    <rPh sb="0" eb="2">
      <t>スウチ</t>
    </rPh>
    <rPh sb="2" eb="4">
      <t>ヒョウジ</t>
    </rPh>
    <phoneticPr fontId="10"/>
  </si>
  <si>
    <t>検証方式</t>
    <rPh sb="0" eb="2">
      <t>ケンショウ</t>
    </rPh>
    <rPh sb="2" eb="4">
      <t>ホウシキ</t>
    </rPh>
    <phoneticPr fontId="10"/>
  </si>
  <si>
    <t>システム認証番号</t>
    <rPh sb="4" eb="6">
      <t>ニンショウ</t>
    </rPh>
    <rPh sb="6" eb="8">
      <t>バンゴウ</t>
    </rPh>
    <phoneticPr fontId="10"/>
  </si>
  <si>
    <t>個品別検証方式</t>
  </si>
  <si>
    <t>電話番号</t>
    <rPh sb="0" eb="2">
      <t>デンワ</t>
    </rPh>
    <rPh sb="2" eb="4">
      <t>バンゴウ</t>
    </rPh>
    <phoneticPr fontId="10"/>
  </si>
  <si>
    <t>公開日</t>
    <rPh sb="0" eb="2">
      <t>コウカイ</t>
    </rPh>
    <rPh sb="2" eb="3">
      <t>ビ</t>
    </rPh>
    <phoneticPr fontId="10"/>
  </si>
  <si>
    <t>数値表示（案）</t>
    <rPh sb="0" eb="2">
      <t>スウチ</t>
    </rPh>
    <rPh sb="2" eb="4">
      <t>ヒョウジ</t>
    </rPh>
    <rPh sb="5" eb="6">
      <t>アン</t>
    </rPh>
    <phoneticPr fontId="10"/>
  </si>
  <si>
    <t>段階別
寄与率</t>
    <rPh sb="0" eb="2">
      <t>ダンカイ</t>
    </rPh>
    <rPh sb="2" eb="3">
      <t>ベツ</t>
    </rPh>
    <rPh sb="4" eb="7">
      <t>キヨリツ</t>
    </rPh>
    <phoneticPr fontId="10"/>
  </si>
  <si>
    <t>全LCに対する寄与率</t>
    <rPh sb="0" eb="1">
      <t>ゼン</t>
    </rPh>
    <rPh sb="4" eb="5">
      <t>タイ</t>
    </rPh>
    <rPh sb="7" eb="10">
      <t>キヨリツ</t>
    </rPh>
    <phoneticPr fontId="10"/>
  </si>
  <si>
    <t>CFP算定結果（ｋｇ）</t>
    <rPh sb="3" eb="5">
      <t>サンテイ</t>
    </rPh>
    <rPh sb="5" eb="7">
      <t>ケッカ</t>
    </rPh>
    <phoneticPr fontId="10"/>
  </si>
  <si>
    <t>CFPプログラム研修会・個別相談への参加の有無</t>
    <rPh sb="8" eb="11">
      <t>ケンシュウカイ</t>
    </rPh>
    <rPh sb="12" eb="14">
      <t>コベツ</t>
    </rPh>
    <rPh sb="14" eb="16">
      <t>ソウダン</t>
    </rPh>
    <rPh sb="18" eb="20">
      <t>サンカ</t>
    </rPh>
    <rPh sb="21" eb="23">
      <t>ウム</t>
    </rPh>
    <phoneticPr fontId="10"/>
  </si>
  <si>
    <t>研修会</t>
    <rPh sb="0" eb="3">
      <t>ケンシュウカイ</t>
    </rPh>
    <phoneticPr fontId="10"/>
  </si>
  <si>
    <t>個別相談</t>
    <rPh sb="0" eb="2">
      <t>コベツ</t>
    </rPh>
    <rPh sb="2" eb="4">
      <t>ソウダン</t>
    </rPh>
    <phoneticPr fontId="10"/>
  </si>
  <si>
    <t>参加有無</t>
    <rPh sb="0" eb="2">
      <t>サンカ</t>
    </rPh>
    <rPh sb="2" eb="4">
      <t>ウム</t>
    </rPh>
    <phoneticPr fontId="10"/>
  </si>
  <si>
    <t>参加日程</t>
    <rPh sb="0" eb="2">
      <t>サンカ</t>
    </rPh>
    <rPh sb="2" eb="4">
      <t>ニッテイ</t>
    </rPh>
    <phoneticPr fontId="10"/>
  </si>
  <si>
    <t>CFP検証申請書チェックリストによるチェック</t>
    <rPh sb="3" eb="5">
      <t>ケンショウ</t>
    </rPh>
    <rPh sb="5" eb="8">
      <t>シンセイショ</t>
    </rPh>
    <phoneticPr fontId="10"/>
  </si>
  <si>
    <t>＜本シート以降は、関係者（事務局、委員、検証員）情報共有用資料となります＞</t>
    <rPh sb="1" eb="2">
      <t>ホン</t>
    </rPh>
    <rPh sb="5" eb="7">
      <t>イコウ</t>
    </rPh>
    <rPh sb="29" eb="31">
      <t>シリョウ</t>
    </rPh>
    <phoneticPr fontId="10"/>
  </si>
  <si>
    <t>・　「カーボンフットプリント宣言の方法に関する要求事項」に従って、マーク表示のイメージ案を記入してください。
・　ダウンロードＵＲＬ
　　http://www.cfp-japan.jp/regulation/index.html</t>
    <rPh sb="14" eb="16">
      <t>センゲン</t>
    </rPh>
    <rPh sb="17" eb="19">
      <t>ホウホウ</t>
    </rPh>
    <rPh sb="20" eb="21">
      <t>カン</t>
    </rPh>
    <rPh sb="23" eb="25">
      <t>ヨウキュウ</t>
    </rPh>
    <rPh sb="25" eb="27">
      <t>ジコウ</t>
    </rPh>
    <rPh sb="36" eb="38">
      <t>ヒョウジ</t>
    </rPh>
    <rPh sb="43" eb="44">
      <t>アン</t>
    </rPh>
    <rPh sb="45" eb="47">
      <t>キニュウ</t>
    </rPh>
    <phoneticPr fontId="10"/>
  </si>
  <si>
    <t>＜本ページ（表紙）は、関係者（事務局、委員、検証員）情報共有用資料となります＞</t>
    <rPh sb="1" eb="2">
      <t>ホン</t>
    </rPh>
    <rPh sb="6" eb="8">
      <t>ヒョウシ</t>
    </rPh>
    <rPh sb="31" eb="33">
      <t>シリョウ</t>
    </rPh>
    <phoneticPr fontId="10"/>
  </si>
  <si>
    <t>認定CFP-PCR名称</t>
    <rPh sb="0" eb="2">
      <t>ニンテイ</t>
    </rPh>
    <rPh sb="9" eb="11">
      <t>メイショウ</t>
    </rPh>
    <phoneticPr fontId="10"/>
  </si>
  <si>
    <t>認定CFP-PCR番号</t>
    <rPh sb="0" eb="2">
      <t>ニンテイ</t>
    </rPh>
    <rPh sb="9" eb="11">
      <t>バンゴウ</t>
    </rPh>
    <phoneticPr fontId="10"/>
  </si>
  <si>
    <t>２．事業者情報</t>
    <rPh sb="2" eb="5">
      <t>ジギョウシャ</t>
    </rPh>
    <phoneticPr fontId="10"/>
  </si>
  <si>
    <t>（事務局使用欄）</t>
    <rPh sb="1" eb="4">
      <t>ジムキョク</t>
    </rPh>
    <rPh sb="4" eb="6">
      <t>シヨウ</t>
    </rPh>
    <rPh sb="6" eb="7">
      <t>ラン</t>
    </rPh>
    <phoneticPr fontId="10"/>
  </si>
  <si>
    <t>利用</t>
    <rPh sb="0" eb="2">
      <t>リヨウ</t>
    </rPh>
    <phoneticPr fontId="10"/>
  </si>
  <si>
    <t>1次データのみで構成された活動量</t>
    <rPh sb="1" eb="2">
      <t>ジ</t>
    </rPh>
    <rPh sb="8" eb="10">
      <t>コウセイ</t>
    </rPh>
    <rPh sb="13" eb="15">
      <t>カツドウ</t>
    </rPh>
    <rPh sb="15" eb="16">
      <t>リョウ</t>
    </rPh>
    <phoneticPr fontId="10"/>
  </si>
  <si>
    <t>1次データと2次データの組合せで構成された活動量</t>
    <rPh sb="7" eb="8">
      <t>ジ</t>
    </rPh>
    <rPh sb="12" eb="13">
      <t>ク</t>
    </rPh>
    <rPh sb="13" eb="14">
      <t>ア</t>
    </rPh>
    <rPh sb="16" eb="18">
      <t>コウセイ</t>
    </rPh>
    <rPh sb="21" eb="23">
      <t>カツドウ</t>
    </rPh>
    <rPh sb="23" eb="24">
      <t>リョウ</t>
    </rPh>
    <phoneticPr fontId="10"/>
  </si>
  <si>
    <t>プロセス番号、プロセス名</t>
    <rPh sb="4" eb="6">
      <t>バンゴウ</t>
    </rPh>
    <rPh sb="11" eb="12">
      <t>メイ</t>
    </rPh>
    <phoneticPr fontId="10"/>
  </si>
  <si>
    <r>
      <rPr>
        <b/>
        <sz val="8"/>
        <rFont val="ＭＳ Ｐゴシック"/>
        <family val="3"/>
        <charset val="128"/>
      </rPr>
      <t>公開用整理番号</t>
    </r>
    <rPh sb="0" eb="3">
      <t>コウカイヨウ</t>
    </rPh>
    <rPh sb="3" eb="5">
      <t>セイリ</t>
    </rPh>
    <rPh sb="5" eb="7">
      <t>バンゴウ</t>
    </rPh>
    <phoneticPr fontId="10"/>
  </si>
  <si>
    <r>
      <t>kg-CO</t>
    </r>
    <r>
      <rPr>
        <vertAlign val="subscript"/>
        <sz val="10"/>
        <rFont val="HG丸ｺﾞｼｯｸM-PRO"/>
        <family val="3"/>
        <charset val="128"/>
      </rPr>
      <t>2</t>
    </r>
    <r>
      <rPr>
        <sz val="10"/>
        <rFont val="HG丸ｺﾞｼｯｸM-PRO"/>
        <family val="3"/>
        <charset val="128"/>
      </rPr>
      <t>e</t>
    </r>
    <phoneticPr fontId="10"/>
  </si>
  <si>
    <r>
      <t>kg-CO</t>
    </r>
    <r>
      <rPr>
        <vertAlign val="subscript"/>
        <sz val="10"/>
        <rFont val="HG丸ｺﾞｼｯｸM-PRO"/>
        <family val="3"/>
        <charset val="128"/>
      </rPr>
      <t>2</t>
    </r>
    <r>
      <rPr>
        <sz val="10"/>
        <rFont val="HG丸ｺﾞｼｯｸM-PRO"/>
        <family val="3"/>
        <charset val="128"/>
      </rPr>
      <t>e</t>
    </r>
    <phoneticPr fontId="10"/>
  </si>
  <si>
    <t>＜数値表示の単位＞</t>
    <rPh sb="1" eb="3">
      <t>スウチ</t>
    </rPh>
    <rPh sb="3" eb="5">
      <t>ヒョウジ</t>
    </rPh>
    <rPh sb="6" eb="8">
      <t>タンイ</t>
    </rPh>
    <phoneticPr fontId="10"/>
  </si>
  <si>
    <t>追加情報
の記載内容</t>
    <rPh sb="6" eb="8">
      <t>キサイ</t>
    </rPh>
    <rPh sb="8" eb="10">
      <t>ナイヨウ</t>
    </rPh>
    <phoneticPr fontId="10"/>
  </si>
  <si>
    <t>４．CFP算定結果の解釈</t>
    <rPh sb="5" eb="7">
      <t>サンテイ</t>
    </rPh>
    <rPh sb="7" eb="9">
      <t>ケッカ</t>
    </rPh>
    <rPh sb="10" eb="12">
      <t>カイシャク</t>
    </rPh>
    <phoneticPr fontId="10"/>
  </si>
  <si>
    <t>５．算定条件</t>
    <rPh sb="2" eb="4">
      <t>サンテイ</t>
    </rPh>
    <rPh sb="4" eb="6">
      <t>ジョウケン</t>
    </rPh>
    <phoneticPr fontId="10"/>
  </si>
  <si>
    <t>６．検証情報</t>
    <rPh sb="2" eb="4">
      <t>ケンショウ</t>
    </rPh>
    <rPh sb="4" eb="6">
      <t>ジョウホウ</t>
    </rPh>
    <phoneticPr fontId="10"/>
  </si>
  <si>
    <t>　内訳（ライフサイクル段階別、プロセス別、フロー別、等）</t>
    <rPh sb="1" eb="3">
      <t>ウチワケ</t>
    </rPh>
    <rPh sb="11" eb="14">
      <t>ダンカイベツ</t>
    </rPh>
    <rPh sb="19" eb="20">
      <t>ベツ</t>
    </rPh>
    <rPh sb="24" eb="25">
      <t>ベツ</t>
    </rPh>
    <rPh sb="26" eb="27">
      <t>トウ</t>
    </rPh>
    <phoneticPr fontId="10"/>
  </si>
  <si>
    <t>３．CFP算定結果およびCFP宣言の内容</t>
    <rPh sb="5" eb="7">
      <t>サンテイ</t>
    </rPh>
    <rPh sb="7" eb="9">
      <t>ケッカ</t>
    </rPh>
    <rPh sb="15" eb="17">
      <t>センゲン</t>
    </rPh>
    <rPh sb="18" eb="20">
      <t>ナイヨウ</t>
    </rPh>
    <phoneticPr fontId="10"/>
  </si>
  <si>
    <t>　数値表示、追加情報の内容</t>
    <rPh sb="1" eb="3">
      <t>スウチ</t>
    </rPh>
    <rPh sb="3" eb="5">
      <t>ヒョウジ</t>
    </rPh>
    <rPh sb="6" eb="8">
      <t>ツイカ</t>
    </rPh>
    <rPh sb="8" eb="10">
      <t>ジョウホウ</t>
    </rPh>
    <rPh sb="11" eb="13">
      <t>ナイヨウ</t>
    </rPh>
    <phoneticPr fontId="10"/>
  </si>
  <si>
    <t>利用した二次データの考え方</t>
    <rPh sb="0" eb="2">
      <t>リヨウ</t>
    </rPh>
    <rPh sb="4" eb="6">
      <t>ニジ</t>
    </rPh>
    <rPh sb="10" eb="11">
      <t>カンガ</t>
    </rPh>
    <rPh sb="12" eb="13">
      <t>カタ</t>
    </rPh>
    <phoneticPr fontId="10"/>
  </si>
  <si>
    <t>ふりがな</t>
  </si>
  <si>
    <t>e-mailアドレス</t>
  </si>
  <si>
    <t>電話（固定・携帯）　※半角</t>
    <rPh sb="0" eb="2">
      <t>デンワ</t>
    </rPh>
    <rPh sb="3" eb="5">
      <t>コテイ</t>
    </rPh>
    <rPh sb="6" eb="8">
      <t>ケイタイ</t>
    </rPh>
    <rPh sb="11" eb="13">
      <t>ハンカク</t>
    </rPh>
    <phoneticPr fontId="10"/>
  </si>
  <si>
    <r>
      <t>FAX　</t>
    </r>
    <r>
      <rPr>
        <sz val="9"/>
        <rFont val="HG丸ｺﾞｼｯｸM-PRO"/>
        <family val="3"/>
        <charset val="128"/>
      </rPr>
      <t>※半角</t>
    </r>
  </si>
  <si>
    <t>チェックリストによる
チェックの有無</t>
    <rPh sb="16" eb="18">
      <t>ウム</t>
    </rPh>
    <phoneticPr fontId="10"/>
  </si>
  <si>
    <t>部署名・役職等</t>
    <rPh sb="0" eb="2">
      <t>ブショ</t>
    </rPh>
    <rPh sb="2" eb="3">
      <t>メイ</t>
    </rPh>
    <rPh sb="4" eb="6">
      <t>ヤクショク</t>
    </rPh>
    <rPh sb="6" eb="7">
      <t>トウ</t>
    </rPh>
    <phoneticPr fontId="10"/>
  </si>
  <si>
    <t>カーボンフットプリントコミュニケーションプログラム</t>
    <phoneticPr fontId="10"/>
  </si>
  <si>
    <t>No.</t>
  </si>
  <si>
    <t>内容</t>
  </si>
  <si>
    <r>
      <t>検証申請書資料一式以外に、</t>
    </r>
    <r>
      <rPr>
        <sz val="10.5"/>
        <rFont val="ＭＳ Ｐゴシック"/>
        <family val="3"/>
        <charset val="128"/>
      </rPr>
      <t>CFP検証において配布を希望する資料がある場合、「添付資料」欄に記載されているか。</t>
    </r>
    <rPh sb="4" eb="5">
      <t>ショ</t>
    </rPh>
    <rPh sb="16" eb="18">
      <t>ケンショウ</t>
    </rPh>
    <phoneticPr fontId="10"/>
  </si>
  <si>
    <t>同じ内容の根拠を繰り返し記載するのは避けて、参照番号を統一するなど、見やすさの工夫がなされているか。</t>
  </si>
  <si>
    <t>チェック</t>
    <phoneticPr fontId="10"/>
  </si>
  <si>
    <t>1-1</t>
    <phoneticPr fontId="10"/>
  </si>
  <si>
    <t>シナリオの選択及び内容がCFP-PCRに準拠しており、且つ十分な根拠に基づいているか。</t>
    <phoneticPr fontId="10"/>
  </si>
  <si>
    <t>【参考資料】</t>
    <rPh sb="1" eb="3">
      <t>サンコウ</t>
    </rPh>
    <rPh sb="3" eb="5">
      <t>シリョウ</t>
    </rPh>
    <phoneticPr fontId="10"/>
  </si>
  <si>
    <t>（※）　二次データについては、CFPウェブサイト下記ページ参照のこと。
http://www.cfp-japan.jp/calculate/verify/data.html</t>
    <rPh sb="4" eb="6">
      <t>ニジ</t>
    </rPh>
    <rPh sb="24" eb="26">
      <t>カキ</t>
    </rPh>
    <rPh sb="29" eb="31">
      <t>サンショウ</t>
    </rPh>
    <phoneticPr fontId="10"/>
  </si>
  <si>
    <t>カーボンフットプリントコミュニケーションプログラム</t>
  </si>
  <si>
    <r>
      <t>「</t>
    </r>
    <r>
      <rPr>
        <sz val="10.5"/>
        <rFont val="ＭＳ Ｐゴシック"/>
        <family val="3"/>
        <charset val="128"/>
      </rPr>
      <t>2．事業者情報」に、登録情報の問い合わせ対応として、適切な電話番号記載されているか。</t>
    </r>
    <rPh sb="6" eb="8">
      <t>ジョウホウ</t>
    </rPh>
    <rPh sb="30" eb="32">
      <t>デンワ</t>
    </rPh>
    <rPh sb="32" eb="34">
      <t>バンゴウ</t>
    </rPh>
    <rPh sb="34" eb="36">
      <t>キサイ</t>
    </rPh>
    <phoneticPr fontId="10"/>
  </si>
  <si>
    <r>
      <t>「</t>
    </r>
    <r>
      <rPr>
        <sz val="10.5"/>
        <rFont val="ＭＳ Ｐゴシック"/>
        <family val="3"/>
        <charset val="128"/>
      </rPr>
      <t>5．算定条件」の参照する認定CFP-PCRの番号はCFP検証申請時点での最新か。名称が適切か。</t>
    </r>
    <rPh sb="29" eb="31">
      <t>ケンショウ</t>
    </rPh>
    <rPh sb="31" eb="33">
      <t>シンセイ</t>
    </rPh>
    <rPh sb="33" eb="35">
      <t>ジテン</t>
    </rPh>
    <phoneticPr fontId="10"/>
  </si>
  <si>
    <r>
      <t xml:space="preserve">本資料は、具体的な表示のイメージについて、必要な情報が抜け落ちていないか等の確認を行うものです。
</t>
    </r>
    <r>
      <rPr>
        <b/>
        <u/>
        <sz val="10"/>
        <rFont val="ＭＳ Ｐゴシック"/>
        <family val="3"/>
        <charset val="128"/>
      </rPr>
      <t>検証の対象外</t>
    </r>
    <r>
      <rPr>
        <b/>
        <sz val="10"/>
        <rFont val="ＭＳ Ｐゴシック"/>
        <family val="3"/>
        <charset val="128"/>
      </rPr>
      <t>となりますが、参考として、申請時に検討している、製品販売時の具体的な表示（案）を記載してください。</t>
    </r>
    <rPh sb="0" eb="1">
      <t>ホン</t>
    </rPh>
    <rPh sb="1" eb="3">
      <t>シリョウ</t>
    </rPh>
    <rPh sb="5" eb="8">
      <t>グタイテキ</t>
    </rPh>
    <rPh sb="9" eb="11">
      <t>ヒョウジ</t>
    </rPh>
    <rPh sb="21" eb="23">
      <t>ヒツヨウ</t>
    </rPh>
    <rPh sb="24" eb="26">
      <t>ジョウホウ</t>
    </rPh>
    <rPh sb="27" eb="28">
      <t>ヌ</t>
    </rPh>
    <rPh sb="29" eb="30">
      <t>オ</t>
    </rPh>
    <rPh sb="36" eb="37">
      <t>トウ</t>
    </rPh>
    <rPh sb="38" eb="40">
      <t>カクニン</t>
    </rPh>
    <rPh sb="41" eb="42">
      <t>オコナ</t>
    </rPh>
    <rPh sb="49" eb="51">
      <t>ケンショウ</t>
    </rPh>
    <rPh sb="52" eb="55">
      <t>タイショウガイ</t>
    </rPh>
    <rPh sb="62" eb="64">
      <t>サンコウ</t>
    </rPh>
    <rPh sb="68" eb="71">
      <t>シンセイジ</t>
    </rPh>
    <rPh sb="72" eb="74">
      <t>ケントウ</t>
    </rPh>
    <rPh sb="79" eb="81">
      <t>セイヒン</t>
    </rPh>
    <rPh sb="81" eb="84">
      <t>ハンバイジ</t>
    </rPh>
    <rPh sb="85" eb="88">
      <t>グタイテキ</t>
    </rPh>
    <rPh sb="89" eb="91">
      <t>ヒョウジ</t>
    </rPh>
    <rPh sb="92" eb="93">
      <t>アン</t>
    </rPh>
    <rPh sb="95" eb="97">
      <t>キサイ</t>
    </rPh>
    <phoneticPr fontId="10"/>
  </si>
  <si>
    <t>（製品やカタログに数値表示を行う場合のイメージを記入（追加情報含む））</t>
    <rPh sb="1" eb="3">
      <t>セイヒン</t>
    </rPh>
    <rPh sb="9" eb="11">
      <t>スウチ</t>
    </rPh>
    <rPh sb="11" eb="13">
      <t>ヒョウジ</t>
    </rPh>
    <rPh sb="14" eb="15">
      <t>オコナ</t>
    </rPh>
    <rPh sb="16" eb="18">
      <t>バアイ</t>
    </rPh>
    <rPh sb="24" eb="26">
      <t>キニュウ</t>
    </rPh>
    <rPh sb="27" eb="29">
      <t>ツイカ</t>
    </rPh>
    <rPh sb="29" eb="31">
      <t>ジョウホウ</t>
    </rPh>
    <rPh sb="31" eb="32">
      <t>フク</t>
    </rPh>
    <phoneticPr fontId="10"/>
  </si>
  <si>
    <t>ライフサイクルフロー図</t>
    <rPh sb="10" eb="11">
      <t>ズ</t>
    </rPh>
    <phoneticPr fontId="10"/>
  </si>
  <si>
    <t>（※） 算定にあたっては、「認定CFP-PCR」「基本データベース」「利用可能データ」を用いてください。
　　　 最新のファイルは、下記ＵＲＬよりダウンロードできます。
　　　　「認定CFP-PCR」　　　　　　　　　　　　　　　　　http://www.cfp-japan.jp/calculate/authorize/pcr.php
　　　　「基本データベース」「利用可能データ」　　http://www.cfp-japan.jp/calculate/verify/data.html</t>
    <rPh sb="4" eb="6">
      <t>サンテイ</t>
    </rPh>
    <rPh sb="14" eb="16">
      <t>ニンテイ</t>
    </rPh>
    <rPh sb="25" eb="27">
      <t>キホン</t>
    </rPh>
    <rPh sb="35" eb="37">
      <t>リヨウ</t>
    </rPh>
    <rPh sb="37" eb="39">
      <t>カノウ</t>
    </rPh>
    <rPh sb="44" eb="45">
      <t>モチ</t>
    </rPh>
    <rPh sb="57" eb="59">
      <t>サイシン</t>
    </rPh>
    <rPh sb="66" eb="68">
      <t>カキ</t>
    </rPh>
    <rPh sb="90" eb="92">
      <t>ニンテイ</t>
    </rPh>
    <phoneticPr fontId="10"/>
  </si>
  <si>
    <t>利用可能データの原単位</t>
    <rPh sb="0" eb="2">
      <t>リヨウ</t>
    </rPh>
    <rPh sb="2" eb="4">
      <t>カノウ</t>
    </rPh>
    <rPh sb="8" eb="11">
      <t>ゲンタンイ</t>
    </rPh>
    <phoneticPr fontId="10"/>
  </si>
  <si>
    <t>CFP検証合格済み製品の登録情報から得た場合や、GHG排出量を直接入力した場合など</t>
    <rPh sb="3" eb="5">
      <t>ケンショウ</t>
    </rPh>
    <rPh sb="5" eb="7">
      <t>ゴウカク</t>
    </rPh>
    <rPh sb="7" eb="8">
      <t>ズ</t>
    </rPh>
    <rPh sb="9" eb="11">
      <t>セイヒン</t>
    </rPh>
    <rPh sb="12" eb="14">
      <t>トウロク</t>
    </rPh>
    <rPh sb="14" eb="16">
      <t>ジョウホウ</t>
    </rPh>
    <rPh sb="18" eb="19">
      <t>エ</t>
    </rPh>
    <rPh sb="20" eb="22">
      <t>バアイ</t>
    </rPh>
    <rPh sb="27" eb="29">
      <t>ハイシュツ</t>
    </rPh>
    <rPh sb="29" eb="30">
      <t>リョウ</t>
    </rPh>
    <rPh sb="31" eb="33">
      <t>チョクセツ</t>
    </rPh>
    <rPh sb="33" eb="35">
      <t>ニュウリョク</t>
    </rPh>
    <rPh sb="37" eb="39">
      <t>バアイ</t>
    </rPh>
    <phoneticPr fontId="10"/>
  </si>
  <si>
    <t>４．「(4)データ入力と算出結果」シートのチェックリスト</t>
    <phoneticPr fontId="10"/>
  </si>
  <si>
    <t>4-8</t>
    <phoneticPr fontId="10"/>
  </si>
  <si>
    <t>５．「(5)データの根拠」シートのチェックリスト</t>
    <phoneticPr fontId="10"/>
  </si>
  <si>
    <t>収集した１次データの数値等の根拠となる情報「（5）データの根拠」の参照番号が、適切に記載されているか。</t>
    <phoneticPr fontId="10"/>
  </si>
  <si>
    <t>公開用整理番号</t>
    <rPh sb="0" eb="3">
      <t>コウカイヨウ</t>
    </rPh>
    <rPh sb="3" eb="5">
      <t>セイリ</t>
    </rPh>
    <rPh sb="5" eb="7">
      <t>バンゴウ</t>
    </rPh>
    <phoneticPr fontId="10"/>
  </si>
  <si>
    <t>（注）申請者がCFP-PCRとは異なるシナリオを独自に設定することは出来ない。CFP-PCRのシナリオが実態にそっていない場合には、CFP-PCRの改訂を検討するべきである。ただし、輸送シナリオについては、距離、重量、積載率のいずれかの1次データを取得することができる場合は、その1次データで置き換えても良い。</t>
    <rPh sb="16" eb="17">
      <t>コト</t>
    </rPh>
    <rPh sb="52" eb="54">
      <t>ジッタイ</t>
    </rPh>
    <rPh sb="61" eb="63">
      <t>バアイ</t>
    </rPh>
    <rPh sb="74" eb="76">
      <t>カイテイ</t>
    </rPh>
    <rPh sb="77" eb="79">
      <t>ケントウ</t>
    </rPh>
    <phoneticPr fontId="10"/>
  </si>
  <si>
    <t>日</t>
    <rPh sb="0" eb="1">
      <t>ニチ</t>
    </rPh>
    <phoneticPr fontId="10"/>
  </si>
  <si>
    <t>〈　新規　/　変更　〉</t>
    <rPh sb="2" eb="4">
      <t>シンキ</t>
    </rPh>
    <rPh sb="7" eb="9">
      <t>ヘンコウ</t>
    </rPh>
    <phoneticPr fontId="10"/>
  </si>
  <si>
    <t>1.7 製品写真</t>
    <rPh sb="4" eb="6">
      <t>セイヒン</t>
    </rPh>
    <rPh sb="6" eb="8">
      <t>シャシン</t>
    </rPh>
    <phoneticPr fontId="10"/>
  </si>
  <si>
    <r>
      <t>kg-CO</t>
    </r>
    <r>
      <rPr>
        <vertAlign val="subscript"/>
        <sz val="10"/>
        <rFont val="HG丸ｺﾞｼｯｸM-PRO"/>
        <family val="3"/>
        <charset val="128"/>
      </rPr>
      <t>2</t>
    </r>
    <r>
      <rPr>
        <sz val="10"/>
        <rFont val="HG丸ｺﾞｼｯｸM-PRO"/>
        <family val="3"/>
        <charset val="128"/>
      </rPr>
      <t xml:space="preserve">e
</t>
    </r>
    <r>
      <rPr>
        <sz val="8"/>
        <rFont val="HG丸ｺﾞｼｯｸM-PRO"/>
        <family val="3"/>
        <charset val="128"/>
      </rPr>
      <t>（端数処理により左記の値は内訳の合計値と若干異なる場合があります）</t>
    </r>
    <phoneticPr fontId="10"/>
  </si>
  <si>
    <r>
      <t xml:space="preserve">ＣＦＰ算定結果
</t>
    </r>
    <r>
      <rPr>
        <sz val="9"/>
        <rFont val="HG丸ｺﾞｼｯｸM-PRO"/>
        <family val="3"/>
        <charset val="128"/>
      </rPr>
      <t>（カーボンフットプリント）</t>
    </r>
    <rPh sb="3" eb="5">
      <t>サンテイ</t>
    </rPh>
    <rPh sb="5" eb="7">
      <t>ケッカ</t>
    </rPh>
    <phoneticPr fontId="10"/>
  </si>
  <si>
    <t>未確認</t>
  </si>
  <si>
    <t>未確認</t>
    <phoneticPr fontId="10"/>
  </si>
  <si>
    <t>4-3</t>
    <phoneticPr fontId="10"/>
  </si>
  <si>
    <t>5-6</t>
    <phoneticPr fontId="10"/>
  </si>
  <si>
    <t>5-7</t>
    <phoneticPr fontId="10"/>
  </si>
  <si>
    <t>以上</t>
    <rPh sb="0" eb="2">
      <t>イジョウ</t>
    </rPh>
    <phoneticPr fontId="10"/>
  </si>
  <si>
    <t>未確認</t>
    <rPh sb="0" eb="3">
      <t>ミカクニン</t>
    </rPh>
    <phoneticPr fontId="10"/>
  </si>
  <si>
    <t>なし</t>
    <phoneticPr fontId="10"/>
  </si>
  <si>
    <t>CFP算定結果の解釈</t>
    <phoneticPr fontId="10"/>
  </si>
  <si>
    <t>検証合格日</t>
    <rPh sb="0" eb="2">
      <t>ケンショウ</t>
    </rPh>
    <rPh sb="2" eb="5">
      <t>ゴウカクビ</t>
    </rPh>
    <phoneticPr fontId="10"/>
  </si>
  <si>
    <t>事業者名</t>
    <phoneticPr fontId="10"/>
  </si>
  <si>
    <r>
      <t>検証後のウェブサイト
公開時期への要望など</t>
    </r>
    <r>
      <rPr>
        <vertAlign val="superscript"/>
        <sz val="10"/>
        <rFont val="HG丸ｺﾞｼｯｸM-PRO"/>
        <family val="3"/>
        <charset val="128"/>
      </rPr>
      <t>(*2)</t>
    </r>
    <rPh sb="0" eb="2">
      <t>ケンショウ</t>
    </rPh>
    <rPh sb="2" eb="3">
      <t>ゴ</t>
    </rPh>
    <rPh sb="11" eb="13">
      <t>コウカイ</t>
    </rPh>
    <rPh sb="13" eb="15">
      <t>ジキ</t>
    </rPh>
    <rPh sb="17" eb="19">
      <t>ヨウボウ</t>
    </rPh>
    <phoneticPr fontId="10"/>
  </si>
  <si>
    <t>(*2) 検証後、CFPウェブサイトの「CFP宣言認定製品一覧」に本申請書「（2）登録情報シート」を掲載するにあたり、ご要望がある場合、ご記入ください。
　　　なお、CFP検証合格後に「CFP宣言登録・公開申請書」をご提出いただくにあたり、公開日は改めてご記入いただきます。</t>
    <rPh sb="5" eb="7">
      <t>ケンショウ</t>
    </rPh>
    <rPh sb="7" eb="8">
      <t>ゴ</t>
    </rPh>
    <rPh sb="60" eb="62">
      <t>ヨウボウ</t>
    </rPh>
    <rPh sb="65" eb="67">
      <t>バアイ</t>
    </rPh>
    <rPh sb="86" eb="88">
      <t>ケンショウ</t>
    </rPh>
    <rPh sb="88" eb="90">
      <t>ゴウカク</t>
    </rPh>
    <rPh sb="90" eb="91">
      <t>ゴ</t>
    </rPh>
    <rPh sb="96" eb="98">
      <t>センゲン</t>
    </rPh>
    <rPh sb="98" eb="100">
      <t>トウロク</t>
    </rPh>
    <rPh sb="101" eb="103">
      <t>コウカイ</t>
    </rPh>
    <rPh sb="103" eb="106">
      <t>シンセイショ</t>
    </rPh>
    <rPh sb="109" eb="111">
      <t>テイシュツ</t>
    </rPh>
    <rPh sb="120" eb="122">
      <t>コウカイ</t>
    </rPh>
    <rPh sb="122" eb="123">
      <t>ビ</t>
    </rPh>
    <rPh sb="124" eb="125">
      <t>アラタ</t>
    </rPh>
    <rPh sb="128" eb="130">
      <t>キニュウ</t>
    </rPh>
    <phoneticPr fontId="10"/>
  </si>
  <si>
    <r>
      <t>添付資料</t>
    </r>
    <r>
      <rPr>
        <vertAlign val="superscript"/>
        <sz val="11"/>
        <rFont val="HG丸ｺﾞｼｯｸM-PRO"/>
        <family val="3"/>
        <charset val="128"/>
      </rPr>
      <t>(*3)</t>
    </r>
    <rPh sb="0" eb="2">
      <t>テンプ</t>
    </rPh>
    <rPh sb="2" eb="4">
      <t>シリョウ</t>
    </rPh>
    <phoneticPr fontId="10"/>
  </si>
  <si>
    <t>（*3）　本申請書以外に補足説明資料を添付している場合には、資料名称などを記入してください。</t>
    <rPh sb="5" eb="6">
      <t>ホン</t>
    </rPh>
    <rPh sb="6" eb="9">
      <t>シンセイショ</t>
    </rPh>
    <rPh sb="9" eb="11">
      <t>イガイ</t>
    </rPh>
    <rPh sb="12" eb="14">
      <t>ホソク</t>
    </rPh>
    <rPh sb="14" eb="16">
      <t>セツメイ</t>
    </rPh>
    <rPh sb="16" eb="18">
      <t>シリョウ</t>
    </rPh>
    <rPh sb="19" eb="21">
      <t>テンプ</t>
    </rPh>
    <rPh sb="25" eb="27">
      <t>バアイ</t>
    </rPh>
    <rPh sb="30" eb="32">
      <t>シリョウ</t>
    </rPh>
    <rPh sb="32" eb="34">
      <t>メイショウ</t>
    </rPh>
    <rPh sb="37" eb="39">
      <t>キニュウ</t>
    </rPh>
    <phoneticPr fontId="10"/>
  </si>
  <si>
    <t>事業者名</t>
    <phoneticPr fontId="10"/>
  </si>
  <si>
    <r>
      <t>（*4）　</t>
    </r>
    <r>
      <rPr>
        <sz val="9"/>
        <rFont val="ＭＳ Ｐゴシック"/>
        <family val="3"/>
        <charset val="128"/>
      </rPr>
      <t>内容についての問合せ先が検証申請者と異なる場合のみご記入下さい。</t>
    </r>
    <rPh sb="5" eb="7">
      <t>ナイヨウ</t>
    </rPh>
    <rPh sb="12" eb="14">
      <t>トイアワ</t>
    </rPh>
    <rPh sb="15" eb="16">
      <t>サキ</t>
    </rPh>
    <rPh sb="23" eb="24">
      <t>コト</t>
    </rPh>
    <rPh sb="26" eb="28">
      <t>バアイ</t>
    </rPh>
    <phoneticPr fontId="10"/>
  </si>
  <si>
    <t>事業者名／氏名</t>
    <rPh sb="5" eb="7">
      <t>シメイ</t>
    </rPh>
    <phoneticPr fontId="10"/>
  </si>
  <si>
    <r>
      <t>（*5）　</t>
    </r>
    <r>
      <rPr>
        <sz val="9"/>
        <rFont val="ＭＳ Ｐゴシック"/>
        <family val="3"/>
        <charset val="128"/>
      </rPr>
      <t>連絡先を2か所記入した場合は、どちらが連絡担当かご記入ください。</t>
    </r>
    <rPh sb="5" eb="8">
      <t>レンラクサキ</t>
    </rPh>
    <rPh sb="11" eb="12">
      <t>ショ</t>
    </rPh>
    <rPh sb="12" eb="14">
      <t>キニュウ</t>
    </rPh>
    <rPh sb="16" eb="18">
      <t>バアイ</t>
    </rPh>
    <rPh sb="24" eb="26">
      <t>レンラク</t>
    </rPh>
    <rPh sb="26" eb="28">
      <t>タントウ</t>
    </rPh>
    <rPh sb="30" eb="32">
      <t>キニュウ</t>
    </rPh>
    <phoneticPr fontId="10"/>
  </si>
  <si>
    <r>
      <t>その他連絡先</t>
    </r>
    <r>
      <rPr>
        <b/>
        <vertAlign val="superscript"/>
        <sz val="11"/>
        <rFont val="HG丸ｺﾞｼｯｸM-PRO"/>
        <family val="3"/>
        <charset val="128"/>
      </rPr>
      <t>(*4)</t>
    </r>
    <rPh sb="2" eb="3">
      <t>タ</t>
    </rPh>
    <rPh sb="3" eb="6">
      <t>レンラクサキ</t>
    </rPh>
    <phoneticPr fontId="10"/>
  </si>
  <si>
    <r>
      <rPr>
        <b/>
        <sz val="11"/>
        <rFont val="HG丸ｺﾞｼｯｸM-PRO"/>
        <family val="3"/>
        <charset val="128"/>
      </rPr>
      <t>連絡担当</t>
    </r>
    <r>
      <rPr>
        <b/>
        <vertAlign val="superscript"/>
        <sz val="11"/>
        <rFont val="HG丸ｺﾞｼｯｸM-PRO"/>
        <family val="3"/>
        <charset val="128"/>
      </rPr>
      <t>(*5)</t>
    </r>
    <rPh sb="0" eb="2">
      <t>レンラク</t>
    </rPh>
    <rPh sb="2" eb="4">
      <t>タントウ</t>
    </rPh>
    <phoneticPr fontId="10"/>
  </si>
  <si>
    <t>登録情報</t>
    <rPh sb="0" eb="2">
      <t>トウロク</t>
    </rPh>
    <rPh sb="2" eb="4">
      <t>ジョウホウ</t>
    </rPh>
    <phoneticPr fontId="10"/>
  </si>
  <si>
    <t>７．プログラム情報</t>
    <rPh sb="7" eb="9">
      <t>ジョウホウ</t>
    </rPh>
    <phoneticPr fontId="10"/>
  </si>
  <si>
    <t>プログラム名</t>
    <rPh sb="5" eb="6">
      <t>メイ</t>
    </rPh>
    <phoneticPr fontId="10"/>
  </si>
  <si>
    <t>プログラムウェブサイト</t>
    <phoneticPr fontId="10"/>
  </si>
  <si>
    <t>プログラム運営者</t>
    <rPh sb="5" eb="8">
      <t>ウンエイシャ</t>
    </rPh>
    <phoneticPr fontId="10"/>
  </si>
  <si>
    <t>カーボンフットプリント
コミュニケーションプログラム</t>
    <phoneticPr fontId="10"/>
  </si>
  <si>
    <t>プログラム運営者住所</t>
    <rPh sb="5" eb="8">
      <t>ウンエイシャ</t>
    </rPh>
    <rPh sb="8" eb="10">
      <t>ジュウショ</t>
    </rPh>
    <phoneticPr fontId="10"/>
  </si>
  <si>
    <t>東京都千代田区鍛冶町2-2-1</t>
    <phoneticPr fontId="10"/>
  </si>
  <si>
    <t>http://www.cfp-japan.jp</t>
    <phoneticPr fontId="10"/>
  </si>
  <si>
    <t>　カーボンフットプリント</t>
    <phoneticPr fontId="10"/>
  </si>
  <si>
    <t>内容</t>
    <rPh sb="0" eb="2">
      <t>ナイヨウ</t>
    </rPh>
    <phoneticPr fontId="10"/>
  </si>
  <si>
    <t>登録名称（日本語）</t>
    <rPh sb="0" eb="2">
      <t>トウロク</t>
    </rPh>
    <rPh sb="2" eb="4">
      <t>メイショウ</t>
    </rPh>
    <rPh sb="5" eb="8">
      <t>ニホンゴ</t>
    </rPh>
    <phoneticPr fontId="10"/>
  </si>
  <si>
    <t>登録名称（英語）</t>
    <rPh sb="0" eb="2">
      <t>トウロク</t>
    </rPh>
    <rPh sb="2" eb="4">
      <t>メイショウ</t>
    </rPh>
    <rPh sb="5" eb="7">
      <t>エイゴ</t>
    </rPh>
    <phoneticPr fontId="10"/>
  </si>
  <si>
    <t>単位</t>
    <rPh sb="0" eb="2">
      <t>タンイ</t>
    </rPh>
    <phoneticPr fontId="67"/>
  </si>
  <si>
    <t>申請者情報</t>
    <rPh sb="0" eb="3">
      <t>シンセイシャ</t>
    </rPh>
    <rPh sb="3" eb="5">
      <t>ジョウホウ</t>
    </rPh>
    <phoneticPr fontId="67"/>
  </si>
  <si>
    <t>部署</t>
    <rPh sb="0" eb="2">
      <t>ブショ</t>
    </rPh>
    <phoneticPr fontId="67"/>
  </si>
  <si>
    <t>-</t>
    <phoneticPr fontId="67"/>
  </si>
  <si>
    <t>入力担当者名</t>
    <rPh sb="0" eb="2">
      <t>ニュウリョク</t>
    </rPh>
    <rPh sb="2" eb="5">
      <t>タントウシャ</t>
    </rPh>
    <rPh sb="5" eb="6">
      <t>メイ</t>
    </rPh>
    <phoneticPr fontId="67"/>
  </si>
  <si>
    <t>製品情報</t>
    <rPh sb="0" eb="2">
      <t>セイヒン</t>
    </rPh>
    <rPh sb="2" eb="4">
      <t>ジョウホウ</t>
    </rPh>
    <phoneticPr fontId="67"/>
  </si>
  <si>
    <t>-</t>
    <phoneticPr fontId="67"/>
  </si>
  <si>
    <t>製品名　日本語</t>
    <rPh sb="0" eb="3">
      <t>セイヒンメイ</t>
    </rPh>
    <rPh sb="4" eb="7">
      <t>ニホンゴ</t>
    </rPh>
    <phoneticPr fontId="67"/>
  </si>
  <si>
    <t>製品名　英語</t>
    <rPh sb="0" eb="3">
      <t>セイヒンメイ</t>
    </rPh>
    <rPh sb="4" eb="6">
      <t>エイゴ</t>
    </rPh>
    <phoneticPr fontId="10"/>
  </si>
  <si>
    <t>企業名　日本語</t>
    <rPh sb="0" eb="2">
      <t>キギョウ</t>
    </rPh>
    <rPh sb="2" eb="3">
      <t>メイ</t>
    </rPh>
    <rPh sb="4" eb="7">
      <t>ニホンゴ</t>
    </rPh>
    <phoneticPr fontId="67"/>
  </si>
  <si>
    <t>企業名　英語</t>
    <rPh sb="0" eb="2">
      <t>キギョウ</t>
    </rPh>
    <rPh sb="2" eb="3">
      <t>メイ</t>
    </rPh>
    <rPh sb="4" eb="6">
      <t>エイゴ</t>
    </rPh>
    <phoneticPr fontId="10"/>
  </si>
  <si>
    <t>DTP材料製造</t>
    <rPh sb="3" eb="5">
      <t>ザイリョウ</t>
    </rPh>
    <rPh sb="5" eb="7">
      <t>セイゾウ</t>
    </rPh>
    <phoneticPr fontId="10"/>
  </si>
  <si>
    <t>頁</t>
    <rPh sb="0" eb="1">
      <t>ページ</t>
    </rPh>
    <phoneticPr fontId="10"/>
  </si>
  <si>
    <t>㎏-CO2/頁</t>
    <phoneticPr fontId="10"/>
  </si>
  <si>
    <t>DTP 材料</t>
    <phoneticPr fontId="10"/>
  </si>
  <si>
    <t>PCR原単位</t>
    <rPh sb="3" eb="6">
      <t>ゲンタンイ</t>
    </rPh>
    <phoneticPr fontId="10"/>
  </si>
  <si>
    <t>製版材料製造</t>
    <rPh sb="0" eb="2">
      <t>セイハン</t>
    </rPh>
    <rPh sb="2" eb="4">
      <t>ザイリョウ</t>
    </rPh>
    <rPh sb="4" eb="6">
      <t>セイゾウ</t>
    </rPh>
    <phoneticPr fontId="10"/>
  </si>
  <si>
    <t>製版フィルム</t>
    <rPh sb="0" eb="2">
      <t>セイハン</t>
    </rPh>
    <phoneticPr fontId="10"/>
  </si>
  <si>
    <t>PS版</t>
    <rPh sb="2" eb="3">
      <t>バン</t>
    </rPh>
    <phoneticPr fontId="10"/>
  </si>
  <si>
    <t>現像液</t>
    <rPh sb="0" eb="3">
      <t>ゲンゾウエキ</t>
    </rPh>
    <phoneticPr fontId="10"/>
  </si>
  <si>
    <t>定着液</t>
    <rPh sb="0" eb="3">
      <t>テイチャクエキ</t>
    </rPh>
    <phoneticPr fontId="10"/>
  </si>
  <si>
    <t>めっき液</t>
    <rPh sb="3" eb="4">
      <t>エキ</t>
    </rPh>
    <phoneticPr fontId="10"/>
  </si>
  <si>
    <t>銅ボール</t>
    <rPh sb="0" eb="1">
      <t>ドウ</t>
    </rPh>
    <phoneticPr fontId="10"/>
  </si>
  <si>
    <t>腐食液</t>
    <rPh sb="0" eb="2">
      <t>フショク</t>
    </rPh>
    <rPh sb="2" eb="3">
      <t>エキ</t>
    </rPh>
    <phoneticPr fontId="10"/>
  </si>
  <si>
    <t>フレキソ版</t>
    <rPh sb="4" eb="5">
      <t>バン</t>
    </rPh>
    <phoneticPr fontId="10"/>
  </si>
  <si>
    <t>感光性樹脂凸版</t>
    <rPh sb="0" eb="3">
      <t>カンコウセイ</t>
    </rPh>
    <rPh sb="3" eb="5">
      <t>ジュシ</t>
    </rPh>
    <rPh sb="5" eb="7">
      <t>トッパン</t>
    </rPh>
    <phoneticPr fontId="10"/>
  </si>
  <si>
    <t>被印刷物</t>
    <rPh sb="0" eb="1">
      <t>ヒ</t>
    </rPh>
    <rPh sb="1" eb="4">
      <t>インサツブツ</t>
    </rPh>
    <phoneticPr fontId="10"/>
  </si>
  <si>
    <t>被印刷物①</t>
    <rPh sb="0" eb="1">
      <t>ヒ</t>
    </rPh>
    <rPh sb="1" eb="4">
      <t>インサツブツ</t>
    </rPh>
    <phoneticPr fontId="10"/>
  </si>
  <si>
    <t>被印刷物②</t>
    <rPh sb="0" eb="1">
      <t>ヒ</t>
    </rPh>
    <rPh sb="1" eb="4">
      <t>インサツブツ</t>
    </rPh>
    <phoneticPr fontId="10"/>
  </si>
  <si>
    <t>被印刷物③</t>
    <rPh sb="0" eb="1">
      <t>ヒ</t>
    </rPh>
    <rPh sb="1" eb="4">
      <t>インサツブツ</t>
    </rPh>
    <phoneticPr fontId="10"/>
  </si>
  <si>
    <t>被印刷物④</t>
    <rPh sb="0" eb="1">
      <t>ヒ</t>
    </rPh>
    <rPh sb="1" eb="4">
      <t>インサツブツ</t>
    </rPh>
    <phoneticPr fontId="10"/>
  </si>
  <si>
    <t>被印刷物⑤</t>
    <rPh sb="0" eb="1">
      <t>ヒ</t>
    </rPh>
    <rPh sb="1" eb="4">
      <t>インサツブツ</t>
    </rPh>
    <phoneticPr fontId="10"/>
  </si>
  <si>
    <t>PCRで定められたデータ収集項目</t>
    <rPh sb="4" eb="5">
      <t>サダ</t>
    </rPh>
    <rPh sb="12" eb="14">
      <t>シュウシュウ</t>
    </rPh>
    <rPh sb="14" eb="16">
      <t>コウモク</t>
    </rPh>
    <phoneticPr fontId="10"/>
  </si>
  <si>
    <t>オフセット</t>
    <phoneticPr fontId="10"/>
  </si>
  <si>
    <t>POD</t>
    <phoneticPr fontId="10"/>
  </si>
  <si>
    <t>水なし</t>
    <rPh sb="0" eb="1">
      <t>ミズ</t>
    </rPh>
    <phoneticPr fontId="10"/>
  </si>
  <si>
    <t>グラビア</t>
    <phoneticPr fontId="10"/>
  </si>
  <si>
    <t>フレキソ</t>
    <phoneticPr fontId="10"/>
  </si>
  <si>
    <t>活版</t>
    <rPh sb="0" eb="2">
      <t>カッパン</t>
    </rPh>
    <phoneticPr fontId="10"/>
  </si>
  <si>
    <t>○</t>
  </si>
  <si>
    <t>○</t>
    <phoneticPr fontId="10"/>
  </si>
  <si>
    <t>－</t>
    <phoneticPr fontId="10"/>
  </si>
  <si>
    <t>ニス</t>
    <phoneticPr fontId="10"/>
  </si>
  <si>
    <t>印刷材料製造</t>
    <rPh sb="0" eb="2">
      <t>インサツ</t>
    </rPh>
    <rPh sb="2" eb="4">
      <t>ザイリョウ</t>
    </rPh>
    <rPh sb="4" eb="6">
      <t>セイゾウ</t>
    </rPh>
    <phoneticPr fontId="10"/>
  </si>
  <si>
    <t>ラミネート</t>
    <phoneticPr fontId="10"/>
  </si>
  <si>
    <t>コーティング材料製造</t>
    <rPh sb="6" eb="8">
      <t>ザイリョウ</t>
    </rPh>
    <rPh sb="8" eb="10">
      <t>セイゾウ</t>
    </rPh>
    <phoneticPr fontId="10"/>
  </si>
  <si>
    <t>ラミネート材料製造</t>
    <rPh sb="5" eb="7">
      <t>ザイリョウ</t>
    </rPh>
    <rPh sb="7" eb="9">
      <t>セイゾウ</t>
    </rPh>
    <phoneticPr fontId="10"/>
  </si>
  <si>
    <t>抜き・断裁材料製造</t>
    <rPh sb="0" eb="1">
      <t>ヌ</t>
    </rPh>
    <rPh sb="3" eb="5">
      <t>ダンサイ</t>
    </rPh>
    <rPh sb="5" eb="7">
      <t>ザイリョウ</t>
    </rPh>
    <rPh sb="7" eb="9">
      <t>セイゾウ</t>
    </rPh>
    <phoneticPr fontId="10"/>
  </si>
  <si>
    <t>抜き型</t>
    <rPh sb="0" eb="1">
      <t>ヌ</t>
    </rPh>
    <rPh sb="2" eb="3">
      <t>ガタ</t>
    </rPh>
    <phoneticPr fontId="10"/>
  </si>
  <si>
    <t>製本・仕上げ材料製造</t>
    <rPh sb="0" eb="2">
      <t>セイホン</t>
    </rPh>
    <rPh sb="3" eb="5">
      <t>シア</t>
    </rPh>
    <rPh sb="6" eb="8">
      <t>ザイリョウ</t>
    </rPh>
    <rPh sb="8" eb="10">
      <t>セイゾウ</t>
    </rPh>
    <phoneticPr fontId="10"/>
  </si>
  <si>
    <t>表紙材・板紙（箱）</t>
    <rPh sb="0" eb="2">
      <t>ヒョウシ</t>
    </rPh>
    <rPh sb="2" eb="3">
      <t>ザイ</t>
    </rPh>
    <rPh sb="4" eb="6">
      <t>イタガミ</t>
    </rPh>
    <rPh sb="7" eb="8">
      <t>ハコ</t>
    </rPh>
    <phoneticPr fontId="10"/>
  </si>
  <si>
    <t>梱包材料製造</t>
    <rPh sb="0" eb="2">
      <t>コンポウ</t>
    </rPh>
    <rPh sb="2" eb="4">
      <t>ザイリョウ</t>
    </rPh>
    <rPh sb="4" eb="6">
      <t>セイゾウ</t>
    </rPh>
    <phoneticPr fontId="10"/>
  </si>
  <si>
    <t>○</t>
    <phoneticPr fontId="10"/>
  </si>
  <si>
    <t>輸送</t>
    <rPh sb="0" eb="2">
      <t>ユソウ</t>
    </rPh>
    <phoneticPr fontId="10"/>
  </si>
  <si>
    <t>調達原料の輸送</t>
    <rPh sb="0" eb="2">
      <t>チョウタツ</t>
    </rPh>
    <rPh sb="2" eb="4">
      <t>ゲンリョウ</t>
    </rPh>
    <rPh sb="5" eb="7">
      <t>ユソウ</t>
    </rPh>
    <phoneticPr fontId="10"/>
  </si>
  <si>
    <t>DTP</t>
    <phoneticPr fontId="10"/>
  </si>
  <si>
    <t>○</t>
    <phoneticPr fontId="10"/>
  </si>
  <si>
    <t>-</t>
    <phoneticPr fontId="10"/>
  </si>
  <si>
    <t>刷版</t>
    <rPh sb="0" eb="2">
      <t>サッパン</t>
    </rPh>
    <phoneticPr fontId="10"/>
  </si>
  <si>
    <t>製版</t>
    <rPh sb="0" eb="2">
      <t>セイハン</t>
    </rPh>
    <phoneticPr fontId="10"/>
  </si>
  <si>
    <t>投入エネルギー</t>
    <rPh sb="0" eb="2">
      <t>トウニュウ</t>
    </rPh>
    <phoneticPr fontId="10"/>
  </si>
  <si>
    <t>通常行わない？</t>
    <rPh sb="0" eb="2">
      <t>ツウジョウ</t>
    </rPh>
    <rPh sb="2" eb="3">
      <t>オコナ</t>
    </rPh>
    <phoneticPr fontId="10"/>
  </si>
  <si>
    <t>印刷</t>
    <rPh sb="0" eb="2">
      <t>インサツ</t>
    </rPh>
    <phoneticPr fontId="10"/>
  </si>
  <si>
    <t>印刷機投入エネルギー</t>
    <rPh sb="0" eb="2">
      <t>インサツ</t>
    </rPh>
    <rPh sb="2" eb="3">
      <t>キ</t>
    </rPh>
    <rPh sb="3" eb="5">
      <t>トウニュウ</t>
    </rPh>
    <phoneticPr fontId="10"/>
  </si>
  <si>
    <t>ｺｰﾃｨﾝｸﾞ・ﾗﾐﾈｰﾄ</t>
    <phoneticPr fontId="10"/>
  </si>
  <si>
    <t>抜き</t>
    <rPh sb="0" eb="1">
      <t>ヌ</t>
    </rPh>
    <phoneticPr fontId="10"/>
  </si>
  <si>
    <t>断裁</t>
    <rPh sb="0" eb="2">
      <t>ダンサイ</t>
    </rPh>
    <phoneticPr fontId="10"/>
  </si>
  <si>
    <t>製本・仕上げ</t>
    <rPh sb="0" eb="2">
      <t>セイホン</t>
    </rPh>
    <rPh sb="3" eb="5">
      <t>シア</t>
    </rPh>
    <phoneticPr fontId="10"/>
  </si>
  <si>
    <t>梱包</t>
    <rPh sb="0" eb="2">
      <t>コンポウ</t>
    </rPh>
    <phoneticPr fontId="10"/>
  </si>
  <si>
    <t>○※</t>
    <phoneticPr fontId="10"/>
  </si>
  <si>
    <t>廃棄物</t>
    <rPh sb="0" eb="3">
      <t>ハイキブツ</t>
    </rPh>
    <phoneticPr fontId="10"/>
  </si>
  <si>
    <t>原材料調達</t>
    <rPh sb="0" eb="3">
      <t>ゲンザイリョウ</t>
    </rPh>
    <rPh sb="3" eb="5">
      <t>チョウタツ</t>
    </rPh>
    <phoneticPr fontId="10"/>
  </si>
  <si>
    <t>生産</t>
    <rPh sb="0" eb="2">
      <t>セイサン</t>
    </rPh>
    <phoneticPr fontId="10"/>
  </si>
  <si>
    <t>流通</t>
    <rPh sb="0" eb="2">
      <t>リュウツウ</t>
    </rPh>
    <phoneticPr fontId="10"/>
  </si>
  <si>
    <t>使用</t>
    <rPh sb="0" eb="2">
      <t>シヨウ</t>
    </rPh>
    <phoneticPr fontId="10"/>
  </si>
  <si>
    <t>廃棄</t>
    <rPh sb="0" eb="2">
      <t>ハイキ</t>
    </rPh>
    <phoneticPr fontId="10"/>
  </si>
  <si>
    <t>印刷物輸送重量</t>
    <rPh sb="0" eb="2">
      <t>インサツ</t>
    </rPh>
    <rPh sb="2" eb="3">
      <t>ブツ</t>
    </rPh>
    <rPh sb="3" eb="5">
      <t>ユソウ</t>
    </rPh>
    <rPh sb="5" eb="7">
      <t>ジュウリョウ</t>
    </rPh>
    <phoneticPr fontId="10"/>
  </si>
  <si>
    <t>化石燃料由来成分焼却量</t>
    <rPh sb="0" eb="2">
      <t>カセキ</t>
    </rPh>
    <rPh sb="2" eb="4">
      <t>ネンリョウ</t>
    </rPh>
    <rPh sb="4" eb="6">
      <t>ユライ</t>
    </rPh>
    <rPh sb="6" eb="8">
      <t>セイブン</t>
    </rPh>
    <rPh sb="8" eb="10">
      <t>ショウキャク</t>
    </rPh>
    <rPh sb="10" eb="11">
      <t>リョウ</t>
    </rPh>
    <phoneticPr fontId="10"/>
  </si>
  <si>
    <t>有機成分埋め立て量</t>
    <rPh sb="0" eb="2">
      <t>ユウキ</t>
    </rPh>
    <rPh sb="2" eb="4">
      <t>セイブン</t>
    </rPh>
    <rPh sb="4" eb="5">
      <t>ウ</t>
    </rPh>
    <rPh sb="6" eb="7">
      <t>タ</t>
    </rPh>
    <rPh sb="8" eb="9">
      <t>リョウ</t>
    </rPh>
    <phoneticPr fontId="10"/>
  </si>
  <si>
    <t>リサイクル処理量</t>
    <rPh sb="5" eb="7">
      <t>ショリ</t>
    </rPh>
    <rPh sb="7" eb="8">
      <t>リョウ</t>
    </rPh>
    <phoneticPr fontId="10"/>
  </si>
  <si>
    <t>印刷物輸送重量（紙）</t>
    <rPh sb="0" eb="2">
      <t>インサツ</t>
    </rPh>
    <rPh sb="2" eb="3">
      <t>ブツ</t>
    </rPh>
    <rPh sb="3" eb="5">
      <t>ユソウ</t>
    </rPh>
    <rPh sb="5" eb="7">
      <t>ジュウリョウ</t>
    </rPh>
    <rPh sb="8" eb="9">
      <t>カミ</t>
    </rPh>
    <phoneticPr fontId="10"/>
  </si>
  <si>
    <t>印刷物輸送重量（インキ）</t>
    <rPh sb="0" eb="2">
      <t>インサツ</t>
    </rPh>
    <rPh sb="2" eb="3">
      <t>ブツ</t>
    </rPh>
    <rPh sb="3" eb="5">
      <t>ユソウ</t>
    </rPh>
    <rPh sb="5" eb="7">
      <t>ジュウリョウ</t>
    </rPh>
    <phoneticPr fontId="10"/>
  </si>
  <si>
    <t>印刷物輸送重量（糊）</t>
    <rPh sb="0" eb="2">
      <t>インサツ</t>
    </rPh>
    <rPh sb="2" eb="3">
      <t>ブツ</t>
    </rPh>
    <rPh sb="3" eb="5">
      <t>ユソウ</t>
    </rPh>
    <rPh sb="5" eb="7">
      <t>ジュウリョウ</t>
    </rPh>
    <rPh sb="8" eb="9">
      <t>ノリ</t>
    </rPh>
    <phoneticPr fontId="10"/>
  </si>
  <si>
    <t>印刷物輸送重量（針金）</t>
    <rPh sb="0" eb="2">
      <t>インサツ</t>
    </rPh>
    <rPh sb="2" eb="3">
      <t>ブツ</t>
    </rPh>
    <rPh sb="3" eb="5">
      <t>ユソウ</t>
    </rPh>
    <rPh sb="5" eb="7">
      <t>ジュウリョウ</t>
    </rPh>
    <rPh sb="8" eb="10">
      <t>ハリガネ</t>
    </rPh>
    <phoneticPr fontId="10"/>
  </si>
  <si>
    <t>輸送資材（封筒）輸送量</t>
    <rPh sb="0" eb="2">
      <t>ユソウ</t>
    </rPh>
    <rPh sb="2" eb="4">
      <t>シザイ</t>
    </rPh>
    <rPh sb="5" eb="7">
      <t>フウトウ</t>
    </rPh>
    <rPh sb="8" eb="11">
      <t>ユソウリョウ</t>
    </rPh>
    <phoneticPr fontId="10"/>
  </si>
  <si>
    <t>データ区分</t>
    <rPh sb="3" eb="5">
      <t>クブン</t>
    </rPh>
    <phoneticPr fontId="10"/>
  </si>
  <si>
    <t>一次</t>
    <rPh sb="0" eb="2">
      <t>イチジ</t>
    </rPh>
    <phoneticPr fontId="10"/>
  </si>
  <si>
    <t>POD用トナー・インキ</t>
    <rPh sb="3" eb="4">
      <t>ヨウ</t>
    </rPh>
    <phoneticPr fontId="10"/>
  </si>
  <si>
    <t>計算</t>
    <rPh sb="0" eb="2">
      <t>ケイサン</t>
    </rPh>
    <phoneticPr fontId="10"/>
  </si>
  <si>
    <t>PCRでの区分</t>
    <rPh sb="5" eb="7">
      <t>クブン</t>
    </rPh>
    <phoneticPr fontId="10"/>
  </si>
  <si>
    <t>一次/二次</t>
    <rPh sb="0" eb="2">
      <t>イチジ</t>
    </rPh>
    <rPh sb="3" eb="5">
      <t>ニジ</t>
    </rPh>
    <phoneticPr fontId="10"/>
  </si>
  <si>
    <t>刷版材料製造</t>
    <rPh sb="0" eb="2">
      <t>サッパン</t>
    </rPh>
    <rPh sb="2" eb="4">
      <t>ザイリョウ</t>
    </rPh>
    <rPh sb="4" eb="6">
      <t>セイゾウ</t>
    </rPh>
    <phoneticPr fontId="10"/>
  </si>
  <si>
    <t>○</t>
    <phoneticPr fontId="10"/>
  </si>
  <si>
    <t>ガム液</t>
    <rPh sb="2" eb="3">
      <t>エキ</t>
    </rPh>
    <phoneticPr fontId="10"/>
  </si>
  <si>
    <t xml:space="preserve">溶剤
</t>
    <rPh sb="0" eb="2">
      <t>ヨウザイ</t>
    </rPh>
    <phoneticPr fontId="10"/>
  </si>
  <si>
    <t xml:space="preserve">湿し水
</t>
    <rPh sb="0" eb="1">
      <t>シメ</t>
    </rPh>
    <rPh sb="2" eb="3">
      <t>ミズ</t>
    </rPh>
    <phoneticPr fontId="10"/>
  </si>
  <si>
    <t>糊</t>
    <rPh sb="0" eb="1">
      <t>ノリ</t>
    </rPh>
    <phoneticPr fontId="10"/>
  </si>
  <si>
    <t>針金</t>
    <rPh sb="0" eb="2">
      <t>ハリガネ</t>
    </rPh>
    <phoneticPr fontId="10"/>
  </si>
  <si>
    <t>ページ数がわかればOK</t>
    <phoneticPr fontId="10"/>
  </si>
  <si>
    <t>部数がわかればOK</t>
    <phoneticPr fontId="10"/>
  </si>
  <si>
    <t xml:space="preserve">空調・照明
</t>
    <rPh sb="0" eb="2">
      <t>クウチョウ</t>
    </rPh>
    <rPh sb="3" eb="5">
      <t>ショウメイ</t>
    </rPh>
    <phoneticPr fontId="10"/>
  </si>
  <si>
    <t>折り　投入エネルギー</t>
    <rPh sb="0" eb="1">
      <t>オリ</t>
    </rPh>
    <rPh sb="3" eb="5">
      <t>トウニュウ</t>
    </rPh>
    <phoneticPr fontId="10"/>
  </si>
  <si>
    <t>無線綴じ　投入エネルギー</t>
    <rPh sb="0" eb="2">
      <t>ムセン</t>
    </rPh>
    <rPh sb="2" eb="3">
      <t>ト</t>
    </rPh>
    <rPh sb="5" eb="7">
      <t>トウニュウ</t>
    </rPh>
    <phoneticPr fontId="10"/>
  </si>
  <si>
    <t>中綴じ　投入エネルギー</t>
    <rPh sb="0" eb="1">
      <t>ナカ</t>
    </rPh>
    <rPh sb="1" eb="2">
      <t>ト</t>
    </rPh>
    <rPh sb="4" eb="6">
      <t>トウニュウ</t>
    </rPh>
    <phoneticPr fontId="10"/>
  </si>
  <si>
    <t>各廃棄物</t>
    <rPh sb="0" eb="1">
      <t>カク</t>
    </rPh>
    <rPh sb="1" eb="4">
      <t>ハイキブツ</t>
    </rPh>
    <phoneticPr fontId="10"/>
  </si>
  <si>
    <t>プラスチック製輸送資材</t>
    <rPh sb="6" eb="7">
      <t>セイ</t>
    </rPh>
    <rPh sb="7" eb="9">
      <t>ユソウ</t>
    </rPh>
    <rPh sb="9" eb="11">
      <t>シザイ</t>
    </rPh>
    <phoneticPr fontId="10"/>
  </si>
  <si>
    <t>輸送資材（封筒等）</t>
    <rPh sb="0" eb="2">
      <t>ユソウ</t>
    </rPh>
    <rPh sb="2" eb="4">
      <t>シザイ</t>
    </rPh>
    <rPh sb="5" eb="7">
      <t>フウトウ</t>
    </rPh>
    <rPh sb="7" eb="8">
      <t>ナド</t>
    </rPh>
    <phoneticPr fontId="10"/>
  </si>
  <si>
    <t>梱包資材</t>
    <rPh sb="0" eb="2">
      <t>コンポウ</t>
    </rPh>
    <rPh sb="2" eb="4">
      <t>シザイ</t>
    </rPh>
    <phoneticPr fontId="10"/>
  </si>
  <si>
    <t>梱包資材の輸送と廃棄</t>
    <rPh sb="0" eb="2">
      <t>コンポウ</t>
    </rPh>
    <rPh sb="2" eb="4">
      <t>シザイ</t>
    </rPh>
    <rPh sb="5" eb="7">
      <t>ユソウ</t>
    </rPh>
    <rPh sb="8" eb="10">
      <t>ハイキ</t>
    </rPh>
    <phoneticPr fontId="10"/>
  </si>
  <si>
    <t xml:space="preserve">インキ廃棄
</t>
    <rPh sb="3" eb="5">
      <t>ハイキ</t>
    </rPh>
    <phoneticPr fontId="10"/>
  </si>
  <si>
    <t xml:space="preserve">糊廃棄リサイクル
</t>
    <rPh sb="0" eb="1">
      <t>ノリ</t>
    </rPh>
    <rPh sb="1" eb="3">
      <t>ハイキ</t>
    </rPh>
    <phoneticPr fontId="10"/>
  </si>
  <si>
    <t>部数・ページ・糊面の長さがわかればOK</t>
    <phoneticPr fontId="10"/>
  </si>
  <si>
    <t>用紙枚数と色数がわかればOK</t>
    <phoneticPr fontId="10"/>
  </si>
  <si>
    <t xml:space="preserve">針金廃棄・リサイクル
</t>
    <rPh sb="0" eb="2">
      <t>ハリガネ</t>
    </rPh>
    <rPh sb="2" eb="4">
      <t>ハイキ</t>
    </rPh>
    <phoneticPr fontId="10"/>
  </si>
  <si>
    <t>コート層廃棄</t>
    <rPh sb="3" eb="4">
      <t>ソウ</t>
    </rPh>
    <rPh sb="4" eb="6">
      <t>ハイキ</t>
    </rPh>
    <phoneticPr fontId="10"/>
  </si>
  <si>
    <t>重量がわかればOK</t>
    <phoneticPr fontId="10"/>
  </si>
  <si>
    <t xml:space="preserve">封筒の廃棄リサイクル
</t>
    <rPh sb="0" eb="2">
      <t>フウトウ</t>
    </rPh>
    <rPh sb="3" eb="5">
      <t>ハイキ</t>
    </rPh>
    <phoneticPr fontId="10"/>
  </si>
  <si>
    <t>枚数がわかればOK</t>
    <phoneticPr fontId="10"/>
  </si>
  <si>
    <t>用紙枚数がわかればOK</t>
    <phoneticPr fontId="10"/>
  </si>
  <si>
    <t>本紙の枚数がわかればOK</t>
    <phoneticPr fontId="10"/>
  </si>
  <si>
    <t>封筒の数とサイズがわかればOK</t>
    <phoneticPr fontId="10"/>
  </si>
  <si>
    <t>製品重量がわかればOK</t>
    <phoneticPr fontId="10"/>
  </si>
  <si>
    <t>製品ページ数がわかればOK</t>
    <phoneticPr fontId="10"/>
  </si>
  <si>
    <t>用紙枚数（本紙+製本予備紙+印刷予備紙）×色数がわかればOK</t>
    <rPh sb="5" eb="7">
      <t>ホンシ</t>
    </rPh>
    <rPh sb="8" eb="10">
      <t>セイホン</t>
    </rPh>
    <rPh sb="10" eb="12">
      <t>ヨビ</t>
    </rPh>
    <rPh sb="12" eb="13">
      <t>カミ</t>
    </rPh>
    <rPh sb="14" eb="16">
      <t>インサツ</t>
    </rPh>
    <rPh sb="16" eb="18">
      <t>ヨビ</t>
    </rPh>
    <rPh sb="18" eb="19">
      <t>カミ</t>
    </rPh>
    <phoneticPr fontId="10"/>
  </si>
  <si>
    <t>部数（本紙+製本予備紙）×頁数×背の高さがわかればOK</t>
    <rPh sb="3" eb="5">
      <t>ホンシ</t>
    </rPh>
    <rPh sb="6" eb="8">
      <t>セイホン</t>
    </rPh>
    <rPh sb="8" eb="10">
      <t>ヨビ</t>
    </rPh>
    <rPh sb="10" eb="11">
      <t>カミ</t>
    </rPh>
    <rPh sb="13" eb="14">
      <t>ページ</t>
    </rPh>
    <rPh sb="14" eb="15">
      <t>スウ</t>
    </rPh>
    <rPh sb="16" eb="17">
      <t>セ</t>
    </rPh>
    <rPh sb="18" eb="19">
      <t>タカ</t>
    </rPh>
    <phoneticPr fontId="10"/>
  </si>
  <si>
    <t>部数（本紙+製本予備紙）がわかればOK</t>
    <phoneticPr fontId="10"/>
  </si>
  <si>
    <t xml:space="preserve">インキ
</t>
    <phoneticPr fontId="10"/>
  </si>
  <si>
    <t>段ボール・PPバンド・結束紐・クラフト紙・ｽﾄﾚｯﾁﾌｨﾙﾑ</t>
    <rPh sb="0" eb="1">
      <t>ダン</t>
    </rPh>
    <rPh sb="11" eb="13">
      <t>ケッソク</t>
    </rPh>
    <rPh sb="13" eb="14">
      <t>ヒモ</t>
    </rPh>
    <rPh sb="19" eb="20">
      <t>カミ</t>
    </rPh>
    <phoneticPr fontId="10"/>
  </si>
  <si>
    <t>用紙枚数（本紙）がわかればOK</t>
    <rPh sb="0" eb="2">
      <t>ヨウシ</t>
    </rPh>
    <rPh sb="2" eb="4">
      <t>マイスウ</t>
    </rPh>
    <rPh sb="5" eb="7">
      <t>ホンシ</t>
    </rPh>
    <phoneticPr fontId="10"/>
  </si>
  <si>
    <t>定格・最大印刷速度がわかればOK</t>
    <rPh sb="0" eb="2">
      <t>テイカク</t>
    </rPh>
    <rPh sb="3" eb="5">
      <t>サイダイ</t>
    </rPh>
    <rPh sb="5" eb="7">
      <t>インサツ</t>
    </rPh>
    <rPh sb="7" eb="9">
      <t>ソクド</t>
    </rPh>
    <phoneticPr fontId="10"/>
  </si>
  <si>
    <t>用紙枚数（本紙+製本予備紙+印刷予備紙）がわかればOK</t>
    <rPh sb="5" eb="7">
      <t>ホンシ</t>
    </rPh>
    <rPh sb="8" eb="10">
      <t>セイホン</t>
    </rPh>
    <rPh sb="10" eb="12">
      <t>ヨビ</t>
    </rPh>
    <rPh sb="12" eb="13">
      <t>カミ</t>
    </rPh>
    <rPh sb="14" eb="16">
      <t>インサツ</t>
    </rPh>
    <rPh sb="16" eb="18">
      <t>ヨビ</t>
    </rPh>
    <rPh sb="18" eb="19">
      <t>カミ</t>
    </rPh>
    <phoneticPr fontId="10"/>
  </si>
  <si>
    <t>用紙枚数（本紙+製本予備紙）がわかればOK</t>
    <rPh sb="5" eb="7">
      <t>ホンシ</t>
    </rPh>
    <rPh sb="8" eb="10">
      <t>セイホン</t>
    </rPh>
    <rPh sb="10" eb="12">
      <t>ヨビ</t>
    </rPh>
    <rPh sb="12" eb="13">
      <t>カミ</t>
    </rPh>
    <phoneticPr fontId="10"/>
  </si>
  <si>
    <t>用紙枚数(本紙)がわかればOK</t>
    <rPh sb="5" eb="7">
      <t>ホンシ</t>
    </rPh>
    <phoneticPr fontId="10"/>
  </si>
  <si>
    <t>用紙枚数（製本予備紙+印刷予備紙）がわかればOK</t>
    <rPh sb="5" eb="7">
      <t>セイホン</t>
    </rPh>
    <rPh sb="7" eb="9">
      <t>ヨビ</t>
    </rPh>
    <rPh sb="9" eb="10">
      <t>カミ</t>
    </rPh>
    <rPh sb="11" eb="13">
      <t>インサツ</t>
    </rPh>
    <rPh sb="13" eb="15">
      <t>ヨビ</t>
    </rPh>
    <rPh sb="15" eb="16">
      <t>カミ</t>
    </rPh>
    <phoneticPr fontId="10"/>
  </si>
  <si>
    <t>kg/枚（またはkg/㎡）×色数がわかればOK</t>
    <rPh sb="3" eb="4">
      <t>マイ</t>
    </rPh>
    <rPh sb="14" eb="15">
      <t>イロ</t>
    </rPh>
    <rPh sb="15" eb="16">
      <t>カズ</t>
    </rPh>
    <phoneticPr fontId="10"/>
  </si>
  <si>
    <t>部数がわかればOK</t>
    <rPh sb="0" eb="2">
      <t>ブスウ</t>
    </rPh>
    <phoneticPr fontId="10"/>
  </si>
  <si>
    <t>部数・頁数・高さがわかればOK</t>
    <rPh sb="0" eb="2">
      <t>ブスウ</t>
    </rPh>
    <rPh sb="3" eb="4">
      <t>ページ</t>
    </rPh>
    <rPh sb="4" eb="5">
      <t>スウ</t>
    </rPh>
    <rPh sb="6" eb="7">
      <t>タカ</t>
    </rPh>
    <phoneticPr fontId="10"/>
  </si>
  <si>
    <t>流通段階で算定済</t>
    <rPh sb="0" eb="2">
      <t>リュウツウ</t>
    </rPh>
    <rPh sb="2" eb="4">
      <t>ダンカイ</t>
    </rPh>
    <rPh sb="5" eb="7">
      <t>サンテイ</t>
    </rPh>
    <rPh sb="7" eb="8">
      <t>ズ</t>
    </rPh>
    <phoneticPr fontId="10"/>
  </si>
  <si>
    <t>製造段階で算定済</t>
    <rPh sb="0" eb="2">
      <t>セイゾウ</t>
    </rPh>
    <rPh sb="2" eb="4">
      <t>ダンカイ</t>
    </rPh>
    <rPh sb="5" eb="7">
      <t>サンテイ</t>
    </rPh>
    <rPh sb="7" eb="8">
      <t>ズ</t>
    </rPh>
    <phoneticPr fontId="10"/>
  </si>
  <si>
    <t>シナリオ</t>
    <phoneticPr fontId="10"/>
  </si>
  <si>
    <t>返送</t>
    <rPh sb="0" eb="2">
      <t>ヘンソウ</t>
    </rPh>
    <phoneticPr fontId="10"/>
  </si>
  <si>
    <t>封筒+印刷物輸送量</t>
    <rPh sb="0" eb="2">
      <t>フウトウ</t>
    </rPh>
    <rPh sb="3" eb="6">
      <t>インサツブツ</t>
    </rPh>
    <rPh sb="6" eb="9">
      <t>ユソウリョウ</t>
    </rPh>
    <phoneticPr fontId="10"/>
  </si>
  <si>
    <t>封筒枚数と印刷物重量がわかればOK</t>
    <rPh sb="0" eb="2">
      <t>フウトウ</t>
    </rPh>
    <rPh sb="2" eb="4">
      <t>マイスウ</t>
    </rPh>
    <rPh sb="5" eb="8">
      <t>インサツブツ</t>
    </rPh>
    <rPh sb="8" eb="10">
      <t>ジュウリョウ</t>
    </rPh>
    <phoneticPr fontId="10"/>
  </si>
  <si>
    <t>一次/ｼﾅﾘｵ</t>
    <rPh sb="0" eb="2">
      <t>イチジ</t>
    </rPh>
    <phoneticPr fontId="10"/>
  </si>
  <si>
    <t>PS版の製造～廃棄の原単位を使用すれば不要？</t>
    <rPh sb="2" eb="3">
      <t>バン</t>
    </rPh>
    <rPh sb="4" eb="6">
      <t>セイゾウ</t>
    </rPh>
    <rPh sb="7" eb="9">
      <t>ハイキ</t>
    </rPh>
    <rPh sb="10" eb="13">
      <t>ゲンタンイ</t>
    </rPh>
    <rPh sb="14" eb="16">
      <t>シヨウ</t>
    </rPh>
    <rPh sb="19" eb="21">
      <t>フヨウ</t>
    </rPh>
    <phoneticPr fontId="10"/>
  </si>
  <si>
    <t>校正用紙</t>
    <rPh sb="0" eb="2">
      <t>コウセイ</t>
    </rPh>
    <rPh sb="2" eb="4">
      <t>ヨウシ</t>
    </rPh>
    <phoneticPr fontId="10"/>
  </si>
  <si>
    <t>部数（本紙）</t>
    <rPh sb="0" eb="2">
      <t>ブスウ</t>
    </rPh>
    <rPh sb="3" eb="5">
      <t>ホンシ</t>
    </rPh>
    <phoneticPr fontId="67"/>
  </si>
  <si>
    <t>用紙枚数（本紙）</t>
    <rPh sb="0" eb="2">
      <t>ヨウシ</t>
    </rPh>
    <rPh sb="2" eb="4">
      <t>マイスウ</t>
    </rPh>
    <rPh sb="5" eb="7">
      <t>ホンシ</t>
    </rPh>
    <phoneticPr fontId="67"/>
  </si>
  <si>
    <t>用紙枚数（印刷予備）</t>
    <rPh sb="0" eb="2">
      <t>ヨウシ</t>
    </rPh>
    <rPh sb="2" eb="4">
      <t>マイスウ</t>
    </rPh>
    <rPh sb="5" eb="7">
      <t>インサツ</t>
    </rPh>
    <rPh sb="7" eb="9">
      <t>ヨビ</t>
    </rPh>
    <phoneticPr fontId="67"/>
  </si>
  <si>
    <t>用紙枚数（製本予備）</t>
    <rPh sb="0" eb="2">
      <t>ヨウシ</t>
    </rPh>
    <rPh sb="2" eb="4">
      <t>マイスウ</t>
    </rPh>
    <rPh sb="5" eb="7">
      <t>セイホン</t>
    </rPh>
    <rPh sb="7" eb="9">
      <t>ヨビ</t>
    </rPh>
    <phoneticPr fontId="67"/>
  </si>
  <si>
    <t>mm</t>
    <phoneticPr fontId="10"/>
  </si>
  <si>
    <t>封筒枚数</t>
    <rPh sb="0" eb="2">
      <t>フウトウ</t>
    </rPh>
    <rPh sb="2" eb="4">
      <t>マイスウ</t>
    </rPh>
    <phoneticPr fontId="10"/>
  </si>
  <si>
    <t>段階</t>
    <rPh sb="0" eb="2">
      <t>ダンカイ</t>
    </rPh>
    <phoneticPr fontId="10"/>
  </si>
  <si>
    <t>プリプレス</t>
    <phoneticPr fontId="10"/>
  </si>
  <si>
    <t>a）DTP材料製造</t>
    <rPh sb="5" eb="7">
      <t>ザイリョウ</t>
    </rPh>
    <rPh sb="7" eb="9">
      <t>セイゾウ</t>
    </rPh>
    <phoneticPr fontId="10"/>
  </si>
  <si>
    <t>DTP材料</t>
    <rPh sb="3" eb="5">
      <t>ザイリョウ</t>
    </rPh>
    <phoneticPr fontId="10"/>
  </si>
  <si>
    <t>その他印刷材料</t>
    <rPh sb="2" eb="3">
      <t>タ</t>
    </rPh>
    <rPh sb="3" eb="5">
      <t>インサツ</t>
    </rPh>
    <rPh sb="5" eb="7">
      <t>ザイリョウ</t>
    </rPh>
    <phoneticPr fontId="10"/>
  </si>
  <si>
    <t>無線綴じ用糊</t>
    <rPh sb="0" eb="2">
      <t>ムセン</t>
    </rPh>
    <rPh sb="2" eb="3">
      <t>ト</t>
    </rPh>
    <rPh sb="4" eb="5">
      <t>ヨウ</t>
    </rPh>
    <rPh sb="5" eb="6">
      <t>ノリ</t>
    </rPh>
    <phoneticPr fontId="10"/>
  </si>
  <si>
    <t>中綴じ用針金</t>
    <rPh sb="0" eb="1">
      <t>ナカ</t>
    </rPh>
    <rPh sb="1" eb="2">
      <t>ト</t>
    </rPh>
    <rPh sb="3" eb="4">
      <t>ヨウ</t>
    </rPh>
    <rPh sb="4" eb="6">
      <t>ハリガネ</t>
    </rPh>
    <phoneticPr fontId="10"/>
  </si>
  <si>
    <t>梱包材料</t>
    <rPh sb="0" eb="2">
      <t>コンポウ</t>
    </rPh>
    <rPh sb="2" eb="4">
      <t>ザイリョウ</t>
    </rPh>
    <phoneticPr fontId="10"/>
  </si>
  <si>
    <t>ＤＴＰ生産・空調照明</t>
    <rPh sb="3" eb="5">
      <t>セイサン</t>
    </rPh>
    <rPh sb="6" eb="8">
      <t>クウチョウ</t>
    </rPh>
    <rPh sb="8" eb="10">
      <t>ショウメイ</t>
    </rPh>
    <phoneticPr fontId="10"/>
  </si>
  <si>
    <t>印刷空調照明</t>
    <rPh sb="0" eb="2">
      <t>インサツ</t>
    </rPh>
    <rPh sb="2" eb="4">
      <t>クウチョウ</t>
    </rPh>
    <rPh sb="4" eb="6">
      <t>ショウメイ</t>
    </rPh>
    <phoneticPr fontId="10"/>
  </si>
  <si>
    <t>断裁生産・空調照明</t>
    <rPh sb="0" eb="2">
      <t>ダンサイ</t>
    </rPh>
    <rPh sb="2" eb="4">
      <t>セイサン</t>
    </rPh>
    <rPh sb="5" eb="7">
      <t>クウチョウ</t>
    </rPh>
    <rPh sb="7" eb="9">
      <t>ショウメイ</t>
    </rPh>
    <phoneticPr fontId="10"/>
  </si>
  <si>
    <t>無線綴じ生産・空調照明</t>
    <rPh sb="0" eb="2">
      <t>ムセン</t>
    </rPh>
    <rPh sb="2" eb="3">
      <t>ト</t>
    </rPh>
    <rPh sb="4" eb="6">
      <t>セイサン</t>
    </rPh>
    <rPh sb="7" eb="9">
      <t>クウチョウ</t>
    </rPh>
    <rPh sb="9" eb="11">
      <t>ショウメイ</t>
    </rPh>
    <phoneticPr fontId="10"/>
  </si>
  <si>
    <t>中綴じ生産・空調照明</t>
    <rPh sb="0" eb="1">
      <t>ナカ</t>
    </rPh>
    <rPh sb="1" eb="2">
      <t>ト</t>
    </rPh>
    <rPh sb="3" eb="5">
      <t>セイサン</t>
    </rPh>
    <rPh sb="6" eb="8">
      <t>クウチョウ</t>
    </rPh>
    <rPh sb="8" eb="10">
      <t>ショウメイ</t>
    </rPh>
    <phoneticPr fontId="10"/>
  </si>
  <si>
    <t>梱包生産・空調照明</t>
    <rPh sb="0" eb="2">
      <t>コンポウ</t>
    </rPh>
    <rPh sb="2" eb="4">
      <t>セイサン</t>
    </rPh>
    <rPh sb="5" eb="7">
      <t>クウチョウ</t>
    </rPh>
    <rPh sb="7" eb="9">
      <t>ショウメイ</t>
    </rPh>
    <phoneticPr fontId="10"/>
  </si>
  <si>
    <t>廃棄・リサイクル（生産段階）</t>
    <rPh sb="0" eb="2">
      <t>ハイキ</t>
    </rPh>
    <rPh sb="9" eb="11">
      <t>セイサン</t>
    </rPh>
    <rPh sb="11" eb="13">
      <t>ダンカイ</t>
    </rPh>
    <phoneticPr fontId="10"/>
  </si>
  <si>
    <t>d)印刷材料製造</t>
    <rPh sb="2" eb="4">
      <t>インサツ</t>
    </rPh>
    <rPh sb="4" eb="6">
      <t>ザイリョウ</t>
    </rPh>
    <rPh sb="6" eb="8">
      <t>セイゾウ</t>
    </rPh>
    <phoneticPr fontId="10"/>
  </si>
  <si>
    <t>h)製本・仕上げ材料製造</t>
    <rPh sb="2" eb="4">
      <t>セイホン</t>
    </rPh>
    <rPh sb="5" eb="7">
      <t>シア</t>
    </rPh>
    <rPh sb="8" eb="10">
      <t>ザイリョウ</t>
    </rPh>
    <rPh sb="10" eb="12">
      <t>セイゾウ</t>
    </rPh>
    <phoneticPr fontId="10"/>
  </si>
  <si>
    <t>ｉ)梱包材料製造</t>
    <rPh sb="2" eb="4">
      <t>コンポウ</t>
    </rPh>
    <rPh sb="4" eb="6">
      <t>ザイリョウ</t>
    </rPh>
    <rPh sb="6" eb="8">
      <t>セイゾウ</t>
    </rPh>
    <phoneticPr fontId="10"/>
  </si>
  <si>
    <t>①a)ＤＴＰ</t>
    <phoneticPr fontId="10"/>
  </si>
  <si>
    <t>①ｄ）印刷</t>
    <rPh sb="3" eb="5">
      <t>インサツ</t>
    </rPh>
    <phoneticPr fontId="10"/>
  </si>
  <si>
    <t>①ｇ)断裁</t>
    <rPh sb="3" eb="5">
      <t>ダンサイ</t>
    </rPh>
    <phoneticPr fontId="10"/>
  </si>
  <si>
    <t>①ｈ)製本・仕上げ</t>
    <rPh sb="3" eb="5">
      <t>セイホン</t>
    </rPh>
    <rPh sb="6" eb="8">
      <t>シア</t>
    </rPh>
    <phoneticPr fontId="10"/>
  </si>
  <si>
    <t>①梱包</t>
    <rPh sb="1" eb="3">
      <t>コンポウ</t>
    </rPh>
    <phoneticPr fontId="10"/>
  </si>
  <si>
    <t>②</t>
    <phoneticPr fontId="10"/>
  </si>
  <si>
    <t>折り生産・空調照明</t>
    <rPh sb="0" eb="1">
      <t>オリ</t>
    </rPh>
    <rPh sb="2" eb="4">
      <t>セイサン</t>
    </rPh>
    <rPh sb="5" eb="7">
      <t>クウチョウ</t>
    </rPh>
    <rPh sb="7" eb="9">
      <t>ショウメイ</t>
    </rPh>
    <phoneticPr fontId="10"/>
  </si>
  <si>
    <t>断裁・製本</t>
    <rPh sb="0" eb="2">
      <t>ダンサイ</t>
    </rPh>
    <rPh sb="3" eb="5">
      <t>セイホン</t>
    </rPh>
    <phoneticPr fontId="10"/>
  </si>
  <si>
    <t>プリプレス</t>
    <phoneticPr fontId="10"/>
  </si>
  <si>
    <t>廃棄・リサイクル</t>
    <rPh sb="0" eb="2">
      <t>ハイキ</t>
    </rPh>
    <phoneticPr fontId="10"/>
  </si>
  <si>
    <t>分類</t>
    <rPh sb="0" eb="2">
      <t>ブンルイ</t>
    </rPh>
    <phoneticPr fontId="10"/>
  </si>
  <si>
    <t>プロセス</t>
    <phoneticPr fontId="10"/>
  </si>
  <si>
    <t>ｋｇ-CO2/頁</t>
    <rPh sb="7" eb="8">
      <t>ページ</t>
    </rPh>
    <phoneticPr fontId="10"/>
  </si>
  <si>
    <t>ｋｇ-CO2/枚</t>
    <rPh sb="7" eb="8">
      <t>マイ</t>
    </rPh>
    <phoneticPr fontId="10"/>
  </si>
  <si>
    <t>ｋｇ-CO2/部</t>
    <rPh sb="7" eb="8">
      <t>ブ</t>
    </rPh>
    <phoneticPr fontId="10"/>
  </si>
  <si>
    <t>ｋｇ-CO2/枚×色数</t>
    <rPh sb="7" eb="8">
      <t>マイ</t>
    </rPh>
    <rPh sb="9" eb="10">
      <t>イロ</t>
    </rPh>
    <rPh sb="10" eb="11">
      <t>カズ</t>
    </rPh>
    <phoneticPr fontId="10"/>
  </si>
  <si>
    <t>またはkg-CO2/㎡×色数</t>
    <rPh sb="12" eb="13">
      <t>イロ</t>
    </rPh>
    <rPh sb="13" eb="14">
      <t>カズ</t>
    </rPh>
    <phoneticPr fontId="10"/>
  </si>
  <si>
    <t>枚葉オフセット</t>
    <rPh sb="0" eb="2">
      <t>マイヨウ</t>
    </rPh>
    <phoneticPr fontId="10"/>
  </si>
  <si>
    <t>A全判</t>
    <rPh sb="1" eb="2">
      <t>ゼン</t>
    </rPh>
    <rPh sb="2" eb="3">
      <t>ハン</t>
    </rPh>
    <phoneticPr fontId="10"/>
  </si>
  <si>
    <t>A半裁</t>
    <rPh sb="1" eb="3">
      <t>ハンサイ</t>
    </rPh>
    <phoneticPr fontId="10"/>
  </si>
  <si>
    <t>菊全判</t>
    <rPh sb="0" eb="1">
      <t>キク</t>
    </rPh>
    <rPh sb="1" eb="2">
      <t>ゼン</t>
    </rPh>
    <rPh sb="2" eb="3">
      <t>ハン</t>
    </rPh>
    <phoneticPr fontId="10"/>
  </si>
  <si>
    <t>菊半裁</t>
    <rPh sb="0" eb="1">
      <t>キク</t>
    </rPh>
    <rPh sb="1" eb="3">
      <t>ハンサイ</t>
    </rPh>
    <phoneticPr fontId="10"/>
  </si>
  <si>
    <t>菊4切</t>
    <rPh sb="0" eb="1">
      <t>キク</t>
    </rPh>
    <rPh sb="2" eb="3">
      <t>キリ</t>
    </rPh>
    <phoneticPr fontId="10"/>
  </si>
  <si>
    <t>四六全判</t>
    <rPh sb="0" eb="2">
      <t>ヨンロク</t>
    </rPh>
    <rPh sb="2" eb="3">
      <t>ゼン</t>
    </rPh>
    <rPh sb="3" eb="4">
      <t>ハン</t>
    </rPh>
    <phoneticPr fontId="10"/>
  </si>
  <si>
    <t>四六4切</t>
    <rPh sb="0" eb="2">
      <t>ヨンロク</t>
    </rPh>
    <rPh sb="3" eb="4">
      <t>キリ</t>
    </rPh>
    <phoneticPr fontId="10"/>
  </si>
  <si>
    <t>輪転オフセット</t>
    <rPh sb="0" eb="2">
      <t>リンテン</t>
    </rPh>
    <phoneticPr fontId="10"/>
  </si>
  <si>
    <t>枚</t>
    <rPh sb="0" eb="1">
      <t>マイ</t>
    </rPh>
    <phoneticPr fontId="10"/>
  </si>
  <si>
    <t>kW</t>
    <phoneticPr fontId="10"/>
  </si>
  <si>
    <t>％</t>
    <phoneticPr fontId="10"/>
  </si>
  <si>
    <t>kWh</t>
    <phoneticPr fontId="10"/>
  </si>
  <si>
    <t>名称</t>
    <rPh sb="0" eb="2">
      <t>メイショウ</t>
    </rPh>
    <phoneticPr fontId="10"/>
  </si>
  <si>
    <t>本紙</t>
    <rPh sb="0" eb="2">
      <t>ホンシ</t>
    </rPh>
    <phoneticPr fontId="10"/>
  </si>
  <si>
    <t>③</t>
    <phoneticPr fontId="10"/>
  </si>
  <si>
    <t>④</t>
    <phoneticPr fontId="10"/>
  </si>
  <si>
    <t>合計</t>
    <rPh sb="0" eb="2">
      <t>ゴウケイ</t>
    </rPh>
    <phoneticPr fontId="10"/>
  </si>
  <si>
    <t>PS版枚数</t>
    <rPh sb="2" eb="3">
      <t>バン</t>
    </rPh>
    <rPh sb="3" eb="5">
      <t>マイスウ</t>
    </rPh>
    <phoneticPr fontId="67"/>
  </si>
  <si>
    <t>kg</t>
    <phoneticPr fontId="10"/>
  </si>
  <si>
    <t>被印刷材料製造</t>
    <rPh sb="0" eb="1">
      <t>ヒ</t>
    </rPh>
    <rPh sb="1" eb="3">
      <t>インサツ</t>
    </rPh>
    <rPh sb="3" eb="5">
      <t>ザイリョウ</t>
    </rPh>
    <rPh sb="5" eb="7">
      <t>セイゾウ</t>
    </rPh>
    <phoneticPr fontId="10"/>
  </si>
  <si>
    <t>材料製造</t>
    <rPh sb="0" eb="2">
      <t>ザイリョウ</t>
    </rPh>
    <rPh sb="2" eb="4">
      <t>セイゾウ</t>
    </rPh>
    <phoneticPr fontId="10"/>
  </si>
  <si>
    <t>PS版製造</t>
    <rPh sb="2" eb="3">
      <t>バン</t>
    </rPh>
    <rPh sb="3" eb="5">
      <t>セイゾウ</t>
    </rPh>
    <phoneticPr fontId="10"/>
  </si>
  <si>
    <t>PS版①</t>
    <rPh sb="2" eb="3">
      <t>バン</t>
    </rPh>
    <phoneticPr fontId="10"/>
  </si>
  <si>
    <t>㎡</t>
    <phoneticPr fontId="10"/>
  </si>
  <si>
    <t>マスターペーパー</t>
    <phoneticPr fontId="10"/>
  </si>
  <si>
    <t>その他の印刷材料製造</t>
    <rPh sb="2" eb="3">
      <t>タ</t>
    </rPh>
    <rPh sb="4" eb="6">
      <t>インサツ</t>
    </rPh>
    <rPh sb="6" eb="8">
      <t>ザイリョウ</t>
    </rPh>
    <rPh sb="8" eb="10">
      <t>セイゾウ</t>
    </rPh>
    <phoneticPr fontId="10"/>
  </si>
  <si>
    <t>その他の印刷材料</t>
    <rPh sb="2" eb="3">
      <t>タ</t>
    </rPh>
    <rPh sb="4" eb="6">
      <t>インサツ</t>
    </rPh>
    <rPh sb="6" eb="8">
      <t>ザイリョウ</t>
    </rPh>
    <phoneticPr fontId="10"/>
  </si>
  <si>
    <t>その他の印刷材料①</t>
    <rPh sb="2" eb="3">
      <t>タ</t>
    </rPh>
    <rPh sb="4" eb="6">
      <t>インサツ</t>
    </rPh>
    <rPh sb="6" eb="8">
      <t>ザイリョウ</t>
    </rPh>
    <phoneticPr fontId="10"/>
  </si>
  <si>
    <t>その他の印刷材料②</t>
    <rPh sb="2" eb="3">
      <t>タ</t>
    </rPh>
    <rPh sb="4" eb="6">
      <t>インサツ</t>
    </rPh>
    <rPh sb="6" eb="8">
      <t>ザイリョウ</t>
    </rPh>
    <phoneticPr fontId="10"/>
  </si>
  <si>
    <t>その他の印刷材料③</t>
    <rPh sb="2" eb="3">
      <t>タ</t>
    </rPh>
    <rPh sb="4" eb="6">
      <t>インサツ</t>
    </rPh>
    <rPh sb="6" eb="8">
      <t>ザイリョウ</t>
    </rPh>
    <phoneticPr fontId="10"/>
  </si>
  <si>
    <t>その他の印刷材料④</t>
    <rPh sb="2" eb="3">
      <t>タ</t>
    </rPh>
    <rPh sb="4" eb="6">
      <t>インサツ</t>
    </rPh>
    <rPh sb="6" eb="8">
      <t>ザイリョウ</t>
    </rPh>
    <phoneticPr fontId="10"/>
  </si>
  <si>
    <t>その他の印刷材料⑤</t>
    <rPh sb="2" eb="3">
      <t>タ</t>
    </rPh>
    <rPh sb="4" eb="6">
      <t>インサツ</t>
    </rPh>
    <rPh sb="6" eb="8">
      <t>ザイリョウ</t>
    </rPh>
    <phoneticPr fontId="10"/>
  </si>
  <si>
    <t>●紙の種類原単位</t>
    <rPh sb="1" eb="2">
      <t>カミ</t>
    </rPh>
    <rPh sb="3" eb="5">
      <t>シュルイ</t>
    </rPh>
    <rPh sb="5" eb="8">
      <t>ゲンタンイ</t>
    </rPh>
    <phoneticPr fontId="10"/>
  </si>
  <si>
    <t>ｋｇ-CO2/㎏</t>
    <phoneticPr fontId="10"/>
  </si>
  <si>
    <t>活動量の数値が0だったものは表示しない</t>
    <rPh sb="0" eb="2">
      <t>カツドウ</t>
    </rPh>
    <rPh sb="2" eb="3">
      <t>リョウ</t>
    </rPh>
    <rPh sb="4" eb="6">
      <t>スウチ</t>
    </rPh>
    <rPh sb="14" eb="16">
      <t>ヒョウジ</t>
    </rPh>
    <phoneticPr fontId="10"/>
  </si>
  <si>
    <t>部・頁・mm</t>
    <rPh sb="0" eb="1">
      <t>ブ</t>
    </rPh>
    <rPh sb="2" eb="3">
      <t>ページ</t>
    </rPh>
    <phoneticPr fontId="10"/>
  </si>
  <si>
    <t>kg-CO2/部・頁・mm</t>
    <rPh sb="7" eb="8">
      <t>ブ</t>
    </rPh>
    <rPh sb="9" eb="10">
      <t>ページ</t>
    </rPh>
    <phoneticPr fontId="10"/>
  </si>
  <si>
    <t>針金製造</t>
    <rPh sb="0" eb="2">
      <t>ハリガネ</t>
    </rPh>
    <rPh sb="2" eb="4">
      <t>セイゾウ</t>
    </rPh>
    <phoneticPr fontId="10"/>
  </si>
  <si>
    <t>無線綴じ用糊製造</t>
    <rPh sb="0" eb="2">
      <t>ムセン</t>
    </rPh>
    <rPh sb="2" eb="3">
      <t>ト</t>
    </rPh>
    <rPh sb="4" eb="5">
      <t>ヨウ</t>
    </rPh>
    <rPh sb="5" eb="6">
      <t>ノリ</t>
    </rPh>
    <rPh sb="6" eb="8">
      <t>セイゾウ</t>
    </rPh>
    <phoneticPr fontId="10"/>
  </si>
  <si>
    <t>kg-CO2/部</t>
    <rPh sb="7" eb="8">
      <t>ブ</t>
    </rPh>
    <phoneticPr fontId="10"/>
  </si>
  <si>
    <t>部</t>
    <rPh sb="0" eb="1">
      <t>ブ</t>
    </rPh>
    <phoneticPr fontId="10"/>
  </si>
  <si>
    <t>梱包資材製造</t>
    <rPh sb="0" eb="2">
      <t>コンポウ</t>
    </rPh>
    <rPh sb="2" eb="4">
      <t>シザイ</t>
    </rPh>
    <rPh sb="4" eb="6">
      <t>セイゾウ</t>
    </rPh>
    <phoneticPr fontId="10"/>
  </si>
  <si>
    <t>kg-CO2/枚</t>
    <rPh sb="7" eb="8">
      <t>マイ</t>
    </rPh>
    <phoneticPr fontId="10"/>
  </si>
  <si>
    <t>被印刷物輸送</t>
    <rPh sb="0" eb="1">
      <t>ヒ</t>
    </rPh>
    <rPh sb="1" eb="4">
      <t>インサツブツ</t>
    </rPh>
    <rPh sb="4" eb="6">
      <t>ユソウ</t>
    </rPh>
    <phoneticPr fontId="10"/>
  </si>
  <si>
    <t>非表示：用紙重量</t>
    <rPh sb="0" eb="3">
      <t>ヒヒョウジ</t>
    </rPh>
    <rPh sb="4" eb="6">
      <t>ヨウシ</t>
    </rPh>
    <rPh sb="6" eb="8">
      <t>ジュウリョウ</t>
    </rPh>
    <phoneticPr fontId="10"/>
  </si>
  <si>
    <t>距離</t>
    <rPh sb="0" eb="2">
      <t>キョリ</t>
    </rPh>
    <phoneticPr fontId="10"/>
  </si>
  <si>
    <t>㎞</t>
    <phoneticPr fontId="10"/>
  </si>
  <si>
    <t>印刷方式</t>
    <rPh sb="0" eb="2">
      <t>インサツ</t>
    </rPh>
    <rPh sb="2" eb="4">
      <t>ホウシキ</t>
    </rPh>
    <phoneticPr fontId="10"/>
  </si>
  <si>
    <t>輪転印刷機</t>
    <rPh sb="0" eb="2">
      <t>リンテン</t>
    </rPh>
    <rPh sb="2" eb="5">
      <t>インサツキ</t>
    </rPh>
    <phoneticPr fontId="10"/>
  </si>
  <si>
    <t>kg-CO2/ｔ㎞</t>
    <phoneticPr fontId="10"/>
  </si>
  <si>
    <t>●輸送シナリオ</t>
    <rPh sb="1" eb="3">
      <t>ユソウ</t>
    </rPh>
    <phoneticPr fontId="10"/>
  </si>
  <si>
    <t>生産段階</t>
    <rPh sb="0" eb="2">
      <t>セイサン</t>
    </rPh>
    <rPh sb="2" eb="4">
      <t>ダンカイ</t>
    </rPh>
    <phoneticPr fontId="10"/>
  </si>
  <si>
    <t>サイト間輸送</t>
    <rPh sb="3" eb="4">
      <t>カン</t>
    </rPh>
    <rPh sb="4" eb="6">
      <t>ユソウ</t>
    </rPh>
    <phoneticPr fontId="10"/>
  </si>
  <si>
    <t>廃棄・リサイクル時</t>
    <rPh sb="0" eb="2">
      <t>ハイキ</t>
    </rPh>
    <rPh sb="8" eb="9">
      <t>ジ</t>
    </rPh>
    <phoneticPr fontId="10"/>
  </si>
  <si>
    <t>kg-CO2/ｔ㎞</t>
    <phoneticPr fontId="10"/>
  </si>
  <si>
    <t>tkm</t>
    <phoneticPr fontId="10"/>
  </si>
  <si>
    <t>トラック輸送（10トン車：積載率25%）</t>
  </si>
  <si>
    <t>B-JP525040</t>
  </si>
  <si>
    <t>トラック輸送（4トン車：積載率25%）</t>
  </si>
  <si>
    <t>B-JP525033</t>
  </si>
  <si>
    <t>B-JP525033</t>
    <phoneticPr fontId="10"/>
  </si>
  <si>
    <t>kg-CO2/tkm</t>
    <phoneticPr fontId="10"/>
  </si>
  <si>
    <t>DTP</t>
    <phoneticPr fontId="10"/>
  </si>
  <si>
    <t>DTP生産・空調照明</t>
    <rPh sb="3" eb="5">
      <t>セイサン</t>
    </rPh>
    <rPh sb="6" eb="8">
      <t>クウチョウ</t>
    </rPh>
    <rPh sb="8" eb="10">
      <t>ショウメイ</t>
    </rPh>
    <phoneticPr fontId="10"/>
  </si>
  <si>
    <t>kg-CO2/頁</t>
    <rPh sb="7" eb="8">
      <t>ページ</t>
    </rPh>
    <phoneticPr fontId="10"/>
  </si>
  <si>
    <t>印刷機電力①</t>
    <rPh sb="0" eb="2">
      <t>インサツ</t>
    </rPh>
    <rPh sb="2" eb="3">
      <t>キ</t>
    </rPh>
    <rPh sb="3" eb="5">
      <t>デンリョク</t>
    </rPh>
    <phoneticPr fontId="10"/>
  </si>
  <si>
    <t>印刷機電力②</t>
    <rPh sb="0" eb="2">
      <t>インサツ</t>
    </rPh>
    <rPh sb="2" eb="3">
      <t>キ</t>
    </rPh>
    <rPh sb="3" eb="5">
      <t>デンリョク</t>
    </rPh>
    <phoneticPr fontId="10"/>
  </si>
  <si>
    <t>印刷機電力③</t>
    <rPh sb="0" eb="2">
      <t>インサツ</t>
    </rPh>
    <rPh sb="2" eb="3">
      <t>キ</t>
    </rPh>
    <rPh sb="3" eb="5">
      <t>デンリョク</t>
    </rPh>
    <phoneticPr fontId="10"/>
  </si>
  <si>
    <t>印刷機電力④</t>
    <rPh sb="0" eb="2">
      <t>インサツ</t>
    </rPh>
    <rPh sb="2" eb="3">
      <t>キ</t>
    </rPh>
    <rPh sb="3" eb="5">
      <t>デンリョク</t>
    </rPh>
    <phoneticPr fontId="10"/>
  </si>
  <si>
    <t>印刷機電力⑤</t>
    <rPh sb="0" eb="2">
      <t>インサツ</t>
    </rPh>
    <rPh sb="2" eb="3">
      <t>キ</t>
    </rPh>
    <rPh sb="3" eb="5">
      <t>デンリョク</t>
    </rPh>
    <phoneticPr fontId="10"/>
  </si>
  <si>
    <t>枚/時</t>
    <rPh sb="0" eb="1">
      <t>マイ</t>
    </rPh>
    <rPh sb="2" eb="3">
      <t>ジ</t>
    </rPh>
    <phoneticPr fontId="10"/>
  </si>
  <si>
    <t>時</t>
    <rPh sb="0" eb="1">
      <t>ジ</t>
    </rPh>
    <phoneticPr fontId="10"/>
  </si>
  <si>
    <t>印刷定格電力</t>
    <rPh sb="0" eb="2">
      <t>インサツ</t>
    </rPh>
    <rPh sb="2" eb="4">
      <t>テイカク</t>
    </rPh>
    <rPh sb="4" eb="6">
      <t>デンリョク</t>
    </rPh>
    <phoneticPr fontId="10"/>
  </si>
  <si>
    <t>最大印刷速度</t>
    <rPh sb="0" eb="2">
      <t>サイダイ</t>
    </rPh>
    <rPh sb="2" eb="4">
      <t>インサツ</t>
    </rPh>
    <rPh sb="4" eb="6">
      <t>ソクド</t>
    </rPh>
    <phoneticPr fontId="10"/>
  </si>
  <si>
    <t>準備負荷率</t>
    <rPh sb="0" eb="2">
      <t>ジュンビ</t>
    </rPh>
    <rPh sb="2" eb="4">
      <t>フカ</t>
    </rPh>
    <rPh sb="4" eb="5">
      <t>リツ</t>
    </rPh>
    <phoneticPr fontId="10"/>
  </si>
  <si>
    <t>印刷負荷率</t>
    <rPh sb="0" eb="2">
      <t>インサツ</t>
    </rPh>
    <rPh sb="2" eb="4">
      <t>フカ</t>
    </rPh>
    <rPh sb="4" eb="5">
      <t>リツ</t>
    </rPh>
    <phoneticPr fontId="10"/>
  </si>
  <si>
    <t>準備速度率</t>
    <rPh sb="0" eb="2">
      <t>ジュンビ</t>
    </rPh>
    <rPh sb="2" eb="4">
      <t>ソクド</t>
    </rPh>
    <rPh sb="4" eb="5">
      <t>リツ</t>
    </rPh>
    <phoneticPr fontId="10"/>
  </si>
  <si>
    <t>印刷速度率</t>
    <rPh sb="0" eb="2">
      <t>インサツ</t>
    </rPh>
    <rPh sb="2" eb="4">
      <t>ソクド</t>
    </rPh>
    <rPh sb="4" eb="5">
      <t>リツ</t>
    </rPh>
    <phoneticPr fontId="10"/>
  </si>
  <si>
    <t>準備時実電力</t>
    <rPh sb="0" eb="2">
      <t>ジュンビ</t>
    </rPh>
    <rPh sb="2" eb="3">
      <t>ジ</t>
    </rPh>
    <rPh sb="3" eb="4">
      <t>ジツ</t>
    </rPh>
    <rPh sb="4" eb="6">
      <t>デンリョク</t>
    </rPh>
    <phoneticPr fontId="10"/>
  </si>
  <si>
    <t>印刷時実電力</t>
    <rPh sb="0" eb="2">
      <t>インサツ</t>
    </rPh>
    <rPh sb="2" eb="3">
      <t>ジ</t>
    </rPh>
    <rPh sb="3" eb="4">
      <t>ジツ</t>
    </rPh>
    <rPh sb="4" eb="6">
      <t>デンリョク</t>
    </rPh>
    <phoneticPr fontId="10"/>
  </si>
  <si>
    <t>準備速度</t>
    <rPh sb="0" eb="2">
      <t>ジュンビ</t>
    </rPh>
    <rPh sb="2" eb="4">
      <t>ソクド</t>
    </rPh>
    <phoneticPr fontId="10"/>
  </si>
  <si>
    <t>実印刷速度</t>
    <rPh sb="0" eb="1">
      <t>ジツ</t>
    </rPh>
    <rPh sb="1" eb="3">
      <t>インサツ</t>
    </rPh>
    <rPh sb="3" eb="5">
      <t>ソクド</t>
    </rPh>
    <phoneticPr fontId="10"/>
  </si>
  <si>
    <t>準備時間</t>
    <rPh sb="0" eb="2">
      <t>ジュンビ</t>
    </rPh>
    <rPh sb="2" eb="4">
      <t>ジカン</t>
    </rPh>
    <phoneticPr fontId="10"/>
  </si>
  <si>
    <t>印刷時間</t>
    <rPh sb="0" eb="2">
      <t>インサツ</t>
    </rPh>
    <rPh sb="2" eb="4">
      <t>ジカン</t>
    </rPh>
    <phoneticPr fontId="10"/>
  </si>
  <si>
    <t>印刷機①</t>
    <rPh sb="0" eb="2">
      <t>インサツ</t>
    </rPh>
    <rPh sb="2" eb="3">
      <t>キ</t>
    </rPh>
    <phoneticPr fontId="10"/>
  </si>
  <si>
    <t>印刷機②</t>
    <rPh sb="0" eb="2">
      <t>インサツ</t>
    </rPh>
    <rPh sb="2" eb="3">
      <t>キ</t>
    </rPh>
    <phoneticPr fontId="10"/>
  </si>
  <si>
    <t>印刷機③</t>
    <rPh sb="0" eb="2">
      <t>インサツ</t>
    </rPh>
    <rPh sb="2" eb="3">
      <t>キ</t>
    </rPh>
    <phoneticPr fontId="10"/>
  </si>
  <si>
    <t>印刷機④</t>
    <rPh sb="0" eb="2">
      <t>インサツ</t>
    </rPh>
    <rPh sb="2" eb="3">
      <t>キ</t>
    </rPh>
    <phoneticPr fontId="10"/>
  </si>
  <si>
    <t>印刷機⑤</t>
    <rPh sb="0" eb="2">
      <t>インサツ</t>
    </rPh>
    <rPh sb="2" eb="3">
      <t>キ</t>
    </rPh>
    <phoneticPr fontId="10"/>
  </si>
  <si>
    <t>公共電力</t>
    <rPh sb="0" eb="2">
      <t>コウキョウ</t>
    </rPh>
    <rPh sb="2" eb="4">
      <t>デンリョク</t>
    </rPh>
    <phoneticPr fontId="10"/>
  </si>
  <si>
    <t>B-JP12001</t>
    <phoneticPr fontId="10"/>
  </si>
  <si>
    <t>kg-CO2/kWh</t>
    <phoneticPr fontId="10"/>
  </si>
  <si>
    <t>印刷空調照明①</t>
    <rPh sb="0" eb="2">
      <t>インサツ</t>
    </rPh>
    <rPh sb="2" eb="4">
      <t>クウチョウ</t>
    </rPh>
    <rPh sb="4" eb="6">
      <t>ショウメイ</t>
    </rPh>
    <phoneticPr fontId="10"/>
  </si>
  <si>
    <t>印刷空調照明②</t>
    <rPh sb="0" eb="2">
      <t>インサツ</t>
    </rPh>
    <rPh sb="2" eb="4">
      <t>クウチョウ</t>
    </rPh>
    <rPh sb="4" eb="6">
      <t>ショウメイ</t>
    </rPh>
    <phoneticPr fontId="10"/>
  </si>
  <si>
    <t>印刷空調照明③</t>
    <rPh sb="0" eb="2">
      <t>インサツ</t>
    </rPh>
    <rPh sb="2" eb="4">
      <t>クウチョウ</t>
    </rPh>
    <rPh sb="4" eb="6">
      <t>ショウメイ</t>
    </rPh>
    <phoneticPr fontId="10"/>
  </si>
  <si>
    <t>印刷空調照明④</t>
    <rPh sb="0" eb="2">
      <t>インサツ</t>
    </rPh>
    <rPh sb="2" eb="4">
      <t>クウチョウ</t>
    </rPh>
    <rPh sb="4" eb="6">
      <t>ショウメイ</t>
    </rPh>
    <phoneticPr fontId="10"/>
  </si>
  <si>
    <t>印刷空調照明⑤</t>
    <rPh sb="0" eb="2">
      <t>インサツ</t>
    </rPh>
    <rPh sb="2" eb="4">
      <t>クウチョウ</t>
    </rPh>
    <rPh sb="4" eb="6">
      <t>ショウメイ</t>
    </rPh>
    <phoneticPr fontId="10"/>
  </si>
  <si>
    <t>製本・仕上</t>
    <rPh sb="0" eb="2">
      <t>セイホン</t>
    </rPh>
    <rPh sb="3" eb="5">
      <t>シア</t>
    </rPh>
    <phoneticPr fontId="10"/>
  </si>
  <si>
    <t>折生産・空調照明</t>
    <rPh sb="0" eb="1">
      <t>オリ</t>
    </rPh>
    <rPh sb="1" eb="3">
      <t>セイサン</t>
    </rPh>
    <rPh sb="4" eb="6">
      <t>クウチョウ</t>
    </rPh>
    <rPh sb="6" eb="8">
      <t>ショウメイ</t>
    </rPh>
    <phoneticPr fontId="10"/>
  </si>
  <si>
    <t>無線綴生産・空調照明</t>
    <rPh sb="0" eb="2">
      <t>ムセン</t>
    </rPh>
    <rPh sb="2" eb="3">
      <t>ト</t>
    </rPh>
    <rPh sb="3" eb="5">
      <t>セイサン</t>
    </rPh>
    <rPh sb="6" eb="8">
      <t>クウチョウ</t>
    </rPh>
    <rPh sb="8" eb="10">
      <t>ショウメイ</t>
    </rPh>
    <phoneticPr fontId="10"/>
  </si>
  <si>
    <t>中綴生産・空調照明</t>
    <rPh sb="0" eb="1">
      <t>ナカ</t>
    </rPh>
    <rPh sb="1" eb="2">
      <t>ト</t>
    </rPh>
    <rPh sb="2" eb="4">
      <t>セイサン</t>
    </rPh>
    <rPh sb="5" eb="7">
      <t>クウチョウ</t>
    </rPh>
    <rPh sb="7" eb="9">
      <t>ショウメイ</t>
    </rPh>
    <phoneticPr fontId="10"/>
  </si>
  <si>
    <t>被印刷物輸送量</t>
    <rPh sb="0" eb="1">
      <t>ヒ</t>
    </rPh>
    <rPh sb="1" eb="4">
      <t>インサツブツ</t>
    </rPh>
    <rPh sb="4" eb="7">
      <t>ユソウリョウ</t>
    </rPh>
    <phoneticPr fontId="10"/>
  </si>
  <si>
    <t>インキ輸送量</t>
    <rPh sb="3" eb="6">
      <t>ユソウリョウ</t>
    </rPh>
    <phoneticPr fontId="10"/>
  </si>
  <si>
    <t>糊輸送量</t>
    <rPh sb="0" eb="1">
      <t>ノリ</t>
    </rPh>
    <rPh sb="1" eb="4">
      <t>ユソウリョウ</t>
    </rPh>
    <phoneticPr fontId="10"/>
  </si>
  <si>
    <t>針金輸送量</t>
    <rPh sb="0" eb="2">
      <t>ハリガネ</t>
    </rPh>
    <rPh sb="2" eb="5">
      <t>ユソウリョウ</t>
    </rPh>
    <phoneticPr fontId="10"/>
  </si>
  <si>
    <t>封筒輸送</t>
    <rPh sb="0" eb="2">
      <t>フウトウ</t>
    </rPh>
    <rPh sb="2" eb="4">
      <t>ユソウ</t>
    </rPh>
    <phoneticPr fontId="10"/>
  </si>
  <si>
    <t>インキ廃棄</t>
    <rPh sb="3" eb="5">
      <t>ハイキ</t>
    </rPh>
    <phoneticPr fontId="10"/>
  </si>
  <si>
    <t>流通段階</t>
    <rPh sb="0" eb="2">
      <t>リュウツウ</t>
    </rPh>
    <rPh sb="2" eb="4">
      <t>ダンカイ</t>
    </rPh>
    <phoneticPr fontId="10"/>
  </si>
  <si>
    <t>廃棄リサイクル段階</t>
    <rPh sb="0" eb="2">
      <t>ハイキ</t>
    </rPh>
    <rPh sb="7" eb="9">
      <t>ダンカイ</t>
    </rPh>
    <phoneticPr fontId="10"/>
  </si>
  <si>
    <t>トラック輸送（4トン車：積載率50%）</t>
  </si>
  <si>
    <t>トラック輸送（4トン車：積載率50%）</t>
    <phoneticPr fontId="10"/>
  </si>
  <si>
    <t>トラック輸送（4トン車：積載率50%）</t>
    <phoneticPr fontId="10"/>
  </si>
  <si>
    <t>トラック輸送（2トン車：積載率25%）</t>
    <phoneticPr fontId="10"/>
  </si>
  <si>
    <t>kg-CO2/ｔ㎞</t>
  </si>
  <si>
    <t>B-JP525026</t>
  </si>
  <si>
    <t>B-JP525032</t>
  </si>
  <si>
    <t>トラック輸送（4トン車：積載率50%）</t>
    <phoneticPr fontId="10"/>
  </si>
  <si>
    <t>B-JP309005</t>
  </si>
  <si>
    <t>B-JP309006</t>
  </si>
  <si>
    <t>●PS版原単位</t>
    <rPh sb="3" eb="4">
      <t>バン</t>
    </rPh>
    <rPh sb="4" eb="7">
      <t>ゲンタンイ</t>
    </rPh>
    <phoneticPr fontId="10"/>
  </si>
  <si>
    <t>ｋｇ-CO2/㎡</t>
  </si>
  <si>
    <t>ｋｇ-CO2/㎡</t>
    <phoneticPr fontId="10"/>
  </si>
  <si>
    <t>A-JP317003</t>
    <phoneticPr fontId="10"/>
  </si>
  <si>
    <r>
      <rPr>
        <sz val="11"/>
        <rFont val="ＭＳ Ｐゴシック"/>
        <family val="3"/>
        <charset val="128"/>
      </rPr>
      <t>非塗工印刷用紙</t>
    </r>
  </si>
  <si>
    <r>
      <rPr>
        <sz val="11"/>
        <rFont val="ＭＳ Ｐゴシック"/>
        <family val="3"/>
        <charset val="128"/>
      </rPr>
      <t>情報用紙</t>
    </r>
  </si>
  <si>
    <t>ＣＲ-ＡＦ04-13001</t>
    <phoneticPr fontId="10"/>
  </si>
  <si>
    <t>ＣＲ-ＡＦ04-12001</t>
    <phoneticPr fontId="10"/>
  </si>
  <si>
    <t>ＣＲ-ＡＦ04-12002</t>
  </si>
  <si>
    <t>生産サイト⇒最終消費者</t>
    <rPh sb="0" eb="2">
      <t>セイサン</t>
    </rPh>
    <rPh sb="6" eb="8">
      <t>サイシュウ</t>
    </rPh>
    <rPh sb="8" eb="11">
      <t>ショウヒシャ</t>
    </rPh>
    <phoneticPr fontId="10"/>
  </si>
  <si>
    <t>●流通段階輸送</t>
    <rPh sb="1" eb="3">
      <t>リュウツウ</t>
    </rPh>
    <rPh sb="3" eb="5">
      <t>ダンカイ</t>
    </rPh>
    <rPh sb="5" eb="7">
      <t>ユソウ</t>
    </rPh>
    <phoneticPr fontId="10"/>
  </si>
  <si>
    <t>kg/部・頁・mm</t>
    <rPh sb="3" eb="4">
      <t>ブ</t>
    </rPh>
    <rPh sb="5" eb="6">
      <t>ページ</t>
    </rPh>
    <phoneticPr fontId="10"/>
  </si>
  <si>
    <t>kg/枚・色</t>
    <rPh sb="3" eb="4">
      <t>マイ</t>
    </rPh>
    <rPh sb="5" eb="6">
      <t>イロ</t>
    </rPh>
    <phoneticPr fontId="10"/>
  </si>
  <si>
    <t>A全判</t>
    <rPh sb="1" eb="2">
      <t>ゼン</t>
    </rPh>
    <rPh sb="2" eb="3">
      <t>バン</t>
    </rPh>
    <phoneticPr fontId="10"/>
  </si>
  <si>
    <t>菊全判</t>
    <rPh sb="0" eb="1">
      <t>キク</t>
    </rPh>
    <rPh sb="1" eb="2">
      <t>ゼン</t>
    </rPh>
    <rPh sb="2" eb="3">
      <t>バン</t>
    </rPh>
    <phoneticPr fontId="10"/>
  </si>
  <si>
    <t>情報用紙</t>
  </si>
  <si>
    <t>紙のサイズ</t>
    <rPh sb="0" eb="1">
      <t>カミ</t>
    </rPh>
    <phoneticPr fontId="10"/>
  </si>
  <si>
    <t>tkm</t>
    <phoneticPr fontId="10"/>
  </si>
  <si>
    <t>プラスチック製輸送資材の製造に係るCO2排出量</t>
    <rPh sb="6" eb="7">
      <t>セイ</t>
    </rPh>
    <rPh sb="7" eb="9">
      <t>ユソウ</t>
    </rPh>
    <rPh sb="9" eb="11">
      <t>シザイ</t>
    </rPh>
    <rPh sb="12" eb="14">
      <t>セイゾウ</t>
    </rPh>
    <rPh sb="15" eb="16">
      <t>カカ</t>
    </rPh>
    <rPh sb="20" eb="22">
      <t>ハイシュツ</t>
    </rPh>
    <rPh sb="22" eb="23">
      <t>リョウ</t>
    </rPh>
    <phoneticPr fontId="10"/>
  </si>
  <si>
    <t>kg-CO2/製品kg</t>
    <rPh sb="7" eb="9">
      <t>セイヒン</t>
    </rPh>
    <phoneticPr fontId="10"/>
  </si>
  <si>
    <t>生産サイトから消費者までの輸送</t>
    <rPh sb="0" eb="2">
      <t>セイサン</t>
    </rPh>
    <rPh sb="7" eb="10">
      <t>ショウヒシャ</t>
    </rPh>
    <rPh sb="13" eb="15">
      <t>ユソウ</t>
    </rPh>
    <phoneticPr fontId="10"/>
  </si>
  <si>
    <t>封筒の製造および輸送</t>
    <rPh sb="0" eb="2">
      <t>フウトウ</t>
    </rPh>
    <rPh sb="3" eb="5">
      <t>セイゾウ</t>
    </rPh>
    <rPh sb="8" eb="10">
      <t>ユソウ</t>
    </rPh>
    <phoneticPr fontId="10"/>
  </si>
  <si>
    <t>封筒</t>
    <rPh sb="0" eb="2">
      <t>フウトウ</t>
    </rPh>
    <phoneticPr fontId="10"/>
  </si>
  <si>
    <t>長3以下</t>
    <rPh sb="0" eb="1">
      <t>ナガ</t>
    </rPh>
    <rPh sb="2" eb="4">
      <t>イカ</t>
    </rPh>
    <phoneticPr fontId="10"/>
  </si>
  <si>
    <t>長3超角2以下</t>
    <rPh sb="0" eb="1">
      <t>ナガ</t>
    </rPh>
    <rPh sb="2" eb="3">
      <t>コ</t>
    </rPh>
    <rPh sb="3" eb="4">
      <t>カク</t>
    </rPh>
    <rPh sb="5" eb="7">
      <t>イカ</t>
    </rPh>
    <phoneticPr fontId="10"/>
  </si>
  <si>
    <t>角2</t>
    <rPh sb="0" eb="1">
      <t>カク</t>
    </rPh>
    <phoneticPr fontId="10"/>
  </si>
  <si>
    <t>角1</t>
    <rPh sb="0" eb="1">
      <t>カク</t>
    </rPh>
    <phoneticPr fontId="10"/>
  </si>
  <si>
    <t>kg</t>
    <phoneticPr fontId="10"/>
  </si>
  <si>
    <t>kg/部</t>
    <rPh sb="3" eb="4">
      <t>ブ</t>
    </rPh>
    <phoneticPr fontId="10"/>
  </si>
  <si>
    <t>返送時の車格・距離・積載率？</t>
    <rPh sb="0" eb="2">
      <t>ヘンソウ</t>
    </rPh>
    <rPh sb="2" eb="3">
      <t>ジ</t>
    </rPh>
    <rPh sb="4" eb="6">
      <t>シャカク</t>
    </rPh>
    <rPh sb="7" eb="9">
      <t>キョリ</t>
    </rPh>
    <rPh sb="10" eb="12">
      <t>セキサイ</t>
    </rPh>
    <rPh sb="12" eb="13">
      <t>リツ</t>
    </rPh>
    <phoneticPr fontId="10"/>
  </si>
  <si>
    <t>tkm</t>
    <phoneticPr fontId="10"/>
  </si>
  <si>
    <t>kg/枚</t>
    <rPh sb="3" eb="4">
      <t>マイ</t>
    </rPh>
    <phoneticPr fontId="10"/>
  </si>
  <si>
    <t>⑤</t>
    <phoneticPr fontId="10"/>
  </si>
  <si>
    <t xml:space="preserve">活動量
</t>
    <rPh sb="0" eb="2">
      <t>カツドウ</t>
    </rPh>
    <rPh sb="2" eb="3">
      <t>リョウ</t>
    </rPh>
    <phoneticPr fontId="10"/>
  </si>
  <si>
    <t>製品のページ数</t>
    <rPh sb="0" eb="2">
      <t>セイヒン</t>
    </rPh>
    <rPh sb="6" eb="7">
      <t>スウ</t>
    </rPh>
    <phoneticPr fontId="10"/>
  </si>
  <si>
    <t>（必須）データ入手方法、計算式、式の説明、データ収集期間、等</t>
    <rPh sb="1" eb="3">
      <t>ヒッス</t>
    </rPh>
    <rPh sb="7" eb="9">
      <t>ニュウシュ</t>
    </rPh>
    <rPh sb="9" eb="11">
      <t>ホウホウ</t>
    </rPh>
    <rPh sb="12" eb="14">
      <t>ケイサン</t>
    </rPh>
    <rPh sb="14" eb="15">
      <t>シキ</t>
    </rPh>
    <rPh sb="16" eb="17">
      <t>シキ</t>
    </rPh>
    <rPh sb="18" eb="20">
      <t>セツメイ</t>
    </rPh>
    <rPh sb="24" eb="26">
      <t>シュウシュウ</t>
    </rPh>
    <rPh sb="26" eb="28">
      <t>キカン</t>
    </rPh>
    <rPh sb="29" eb="30">
      <t>トウ</t>
    </rPh>
    <phoneticPr fontId="10"/>
  </si>
  <si>
    <t>数量</t>
    <rPh sb="0" eb="2">
      <t>スウリョウ</t>
    </rPh>
    <phoneticPr fontId="10"/>
  </si>
  <si>
    <t>製品仕様による。</t>
    <rPh sb="0" eb="2">
      <t>セイヒン</t>
    </rPh>
    <rPh sb="2" eb="4">
      <t>シヨウ</t>
    </rPh>
    <phoneticPr fontId="10"/>
  </si>
  <si>
    <t>本紙部数+予備紙部数</t>
    <rPh sb="0" eb="2">
      <t>ホンシ</t>
    </rPh>
    <rPh sb="2" eb="4">
      <t>ブスウ</t>
    </rPh>
    <rPh sb="5" eb="7">
      <t>ヨビ</t>
    </rPh>
    <rPh sb="7" eb="8">
      <t>カミ</t>
    </rPh>
    <rPh sb="8" eb="10">
      <t>ブスウ</t>
    </rPh>
    <phoneticPr fontId="10"/>
  </si>
  <si>
    <t>本紙枚数</t>
    <rPh sb="0" eb="2">
      <t>ホンシ</t>
    </rPh>
    <rPh sb="2" eb="4">
      <t>マイスウ</t>
    </rPh>
    <phoneticPr fontId="10"/>
  </si>
  <si>
    <t>算定シート入力値</t>
    <rPh sb="0" eb="2">
      <t>サンテイ</t>
    </rPh>
    <rPh sb="5" eb="8">
      <t>ニュウリョクチ</t>
    </rPh>
    <phoneticPr fontId="10"/>
  </si>
  <si>
    <t>被印刷物重量</t>
    <rPh sb="0" eb="1">
      <t>ヒ</t>
    </rPh>
    <rPh sb="1" eb="4">
      <t>インサツブツ</t>
    </rPh>
    <rPh sb="4" eb="6">
      <t>ジュウリョウ</t>
    </rPh>
    <phoneticPr fontId="10"/>
  </si>
  <si>
    <t>輸送距離</t>
    <rPh sb="0" eb="2">
      <t>ユソウ</t>
    </rPh>
    <rPh sb="2" eb="4">
      <t>キョリ</t>
    </rPh>
    <phoneticPr fontId="10"/>
  </si>
  <si>
    <t>ｔｋｍ</t>
    <phoneticPr fontId="10"/>
  </si>
  <si>
    <t>印刷機電力</t>
    <rPh sb="0" eb="2">
      <t>インサツ</t>
    </rPh>
    <rPh sb="2" eb="3">
      <t>キ</t>
    </rPh>
    <rPh sb="3" eb="5">
      <t>デンリョク</t>
    </rPh>
    <phoneticPr fontId="10"/>
  </si>
  <si>
    <t>本紙枚数+印刷予備枚数+製本予備枚数</t>
    <phoneticPr fontId="10"/>
  </si>
  <si>
    <t>折りあり</t>
  </si>
  <si>
    <t>本紙枚数</t>
    <phoneticPr fontId="10"/>
  </si>
  <si>
    <t>製本予備枚数+印刷予備枚数</t>
    <rPh sb="0" eb="2">
      <t>セイホン</t>
    </rPh>
    <rPh sb="2" eb="4">
      <t>ヨビ</t>
    </rPh>
    <rPh sb="4" eb="6">
      <t>マイスウ</t>
    </rPh>
    <rPh sb="7" eb="9">
      <t>インサツ</t>
    </rPh>
    <rPh sb="9" eb="11">
      <t>ヨビ</t>
    </rPh>
    <rPh sb="11" eb="13">
      <t>マイスウ</t>
    </rPh>
    <phoneticPr fontId="10"/>
  </si>
  <si>
    <t>サイト間輸送</t>
    <rPh sb="3" eb="4">
      <t>アイダ</t>
    </rPh>
    <rPh sb="4" eb="6">
      <t>ユソウ</t>
    </rPh>
    <phoneticPr fontId="10"/>
  </si>
  <si>
    <t>（紙の連量（1000枚あたりの重量kg）÷1000）　×　（本紙+印刷予備+製本予備印刷用紙枚数）</t>
    <rPh sb="1" eb="2">
      <t>カミ</t>
    </rPh>
    <rPh sb="3" eb="4">
      <t>レン</t>
    </rPh>
    <rPh sb="4" eb="5">
      <t>リョウ</t>
    </rPh>
    <rPh sb="10" eb="11">
      <t>マイ</t>
    </rPh>
    <rPh sb="15" eb="17">
      <t>ジュウリョウ</t>
    </rPh>
    <rPh sb="30" eb="32">
      <t>ホンシ</t>
    </rPh>
    <rPh sb="33" eb="35">
      <t>インサツ</t>
    </rPh>
    <rPh sb="35" eb="37">
      <t>ヨビ</t>
    </rPh>
    <rPh sb="38" eb="40">
      <t>セイホン</t>
    </rPh>
    <rPh sb="40" eb="42">
      <t>ヨビ</t>
    </rPh>
    <rPh sb="42" eb="44">
      <t>インサツ</t>
    </rPh>
    <rPh sb="44" eb="46">
      <t>ヨウシ</t>
    </rPh>
    <rPh sb="46" eb="48">
      <t>マイスウ</t>
    </rPh>
    <phoneticPr fontId="10"/>
  </si>
  <si>
    <t>糊重量</t>
    <rPh sb="0" eb="1">
      <t>ノリ</t>
    </rPh>
    <rPh sb="1" eb="3">
      <t>ジュウリョウ</t>
    </rPh>
    <phoneticPr fontId="10"/>
  </si>
  <si>
    <t>糊輸送距離</t>
    <rPh sb="0" eb="1">
      <t>ノリ</t>
    </rPh>
    <rPh sb="1" eb="3">
      <t>ユソウ</t>
    </rPh>
    <rPh sb="3" eb="5">
      <t>キョリ</t>
    </rPh>
    <phoneticPr fontId="10"/>
  </si>
  <si>
    <t>インキ重量①</t>
    <rPh sb="3" eb="5">
      <t>ジュウリョウ</t>
    </rPh>
    <phoneticPr fontId="10"/>
  </si>
  <si>
    <t>インキ重量②</t>
    <rPh sb="3" eb="5">
      <t>ジュウリョウ</t>
    </rPh>
    <phoneticPr fontId="10"/>
  </si>
  <si>
    <t>インキ重量③</t>
    <rPh sb="3" eb="5">
      <t>ジュウリョウ</t>
    </rPh>
    <phoneticPr fontId="10"/>
  </si>
  <si>
    <t>インキ重量④</t>
    <rPh sb="3" eb="5">
      <t>ジュウリョウ</t>
    </rPh>
    <phoneticPr fontId="10"/>
  </si>
  <si>
    <t>インキ重量⑤</t>
    <rPh sb="3" eb="5">
      <t>ジュウリョウ</t>
    </rPh>
    <phoneticPr fontId="10"/>
  </si>
  <si>
    <t>針金重量</t>
    <rPh sb="0" eb="2">
      <t>ハリガネ</t>
    </rPh>
    <rPh sb="2" eb="4">
      <t>ジュウリョウ</t>
    </rPh>
    <phoneticPr fontId="10"/>
  </si>
  <si>
    <t>kg</t>
    <phoneticPr fontId="10"/>
  </si>
  <si>
    <t>PCR原単位重量×部×頁×高さ㎜</t>
    <rPh sb="3" eb="6">
      <t>ゲンタンイ</t>
    </rPh>
    <rPh sb="6" eb="8">
      <t>ジュウリョウ</t>
    </rPh>
    <rPh sb="9" eb="10">
      <t>ブ</t>
    </rPh>
    <rPh sb="11" eb="12">
      <t>ページ</t>
    </rPh>
    <rPh sb="13" eb="14">
      <t>タカ</t>
    </rPh>
    <phoneticPr fontId="10"/>
  </si>
  <si>
    <t>PCR原単位重量×部</t>
    <rPh sb="3" eb="6">
      <t>ゲンタンイ</t>
    </rPh>
    <rPh sb="6" eb="8">
      <t>ジュウリョウ</t>
    </rPh>
    <rPh sb="9" eb="10">
      <t>ブ</t>
    </rPh>
    <phoneticPr fontId="10"/>
  </si>
  <si>
    <t>製品重量</t>
    <rPh sb="0" eb="2">
      <t>セイヒン</t>
    </rPh>
    <rPh sb="2" eb="4">
      <t>ジュウリョウ</t>
    </rPh>
    <phoneticPr fontId="10"/>
  </si>
  <si>
    <t>封筒重量</t>
    <rPh sb="0" eb="2">
      <t>フウトウ</t>
    </rPh>
    <rPh sb="2" eb="4">
      <t>ジュウリョウ</t>
    </rPh>
    <phoneticPr fontId="10"/>
  </si>
  <si>
    <t>封筒枚数×各サイズごとの重量</t>
    <rPh sb="0" eb="2">
      <t>フウトウ</t>
    </rPh>
    <rPh sb="2" eb="4">
      <t>マイスウ</t>
    </rPh>
    <rPh sb="5" eb="6">
      <t>カク</t>
    </rPh>
    <rPh sb="12" eb="14">
      <t>ジュウリョウ</t>
    </rPh>
    <phoneticPr fontId="10"/>
  </si>
  <si>
    <t>距離はPCRシナリオによる：50㎞</t>
    <rPh sb="0" eb="2">
      <t>キョリ</t>
    </rPh>
    <phoneticPr fontId="10"/>
  </si>
  <si>
    <t>古紙回収率</t>
    <rPh sb="0" eb="2">
      <t>コシ</t>
    </rPh>
    <rPh sb="2" eb="4">
      <t>カイシュウ</t>
    </rPh>
    <rPh sb="4" eb="5">
      <t>リツ</t>
    </rPh>
    <phoneticPr fontId="10"/>
  </si>
  <si>
    <t>PCRによるリサイクル率</t>
    <rPh sb="11" eb="12">
      <t>リツ</t>
    </rPh>
    <phoneticPr fontId="10"/>
  </si>
  <si>
    <t>廃棄-焼却処理率</t>
    <rPh sb="0" eb="2">
      <t>ハイキ</t>
    </rPh>
    <rPh sb="3" eb="5">
      <t>ショウキャク</t>
    </rPh>
    <rPh sb="5" eb="7">
      <t>ショリ</t>
    </rPh>
    <rPh sb="7" eb="8">
      <t>リツ</t>
    </rPh>
    <phoneticPr fontId="10"/>
  </si>
  <si>
    <t>製品リサイクル処理量</t>
    <rPh sb="0" eb="2">
      <t>セイヒン</t>
    </rPh>
    <rPh sb="7" eb="9">
      <t>ショリ</t>
    </rPh>
    <rPh sb="9" eb="10">
      <t>リョウ</t>
    </rPh>
    <phoneticPr fontId="10"/>
  </si>
  <si>
    <t>製品焼却処理量</t>
    <rPh sb="0" eb="2">
      <t>セイヒン</t>
    </rPh>
    <rPh sb="2" eb="4">
      <t>ショウキャク</t>
    </rPh>
    <rPh sb="4" eb="6">
      <t>ショリ</t>
    </rPh>
    <rPh sb="6" eb="7">
      <t>リョウ</t>
    </rPh>
    <phoneticPr fontId="10"/>
  </si>
  <si>
    <t>インキ廃棄・リサイクル</t>
    <rPh sb="3" eb="5">
      <t>ハイキ</t>
    </rPh>
    <phoneticPr fontId="10"/>
  </si>
  <si>
    <t>インキ廃棄量①</t>
    <rPh sb="3" eb="5">
      <t>ハイキ</t>
    </rPh>
    <rPh sb="5" eb="6">
      <t>リョウ</t>
    </rPh>
    <phoneticPr fontId="10"/>
  </si>
  <si>
    <t>インキ廃棄量②</t>
    <rPh sb="3" eb="5">
      <t>ハイキ</t>
    </rPh>
    <rPh sb="5" eb="6">
      <t>リョウ</t>
    </rPh>
    <phoneticPr fontId="10"/>
  </si>
  <si>
    <t>インキ廃棄量③</t>
    <rPh sb="3" eb="5">
      <t>ハイキ</t>
    </rPh>
    <rPh sb="5" eb="6">
      <t>リョウ</t>
    </rPh>
    <phoneticPr fontId="10"/>
  </si>
  <si>
    <t>インキ廃棄量④</t>
    <rPh sb="3" eb="5">
      <t>ハイキ</t>
    </rPh>
    <rPh sb="5" eb="6">
      <t>リョウ</t>
    </rPh>
    <phoneticPr fontId="10"/>
  </si>
  <si>
    <t>インキ廃棄量⑤</t>
    <rPh sb="3" eb="5">
      <t>ハイキ</t>
    </rPh>
    <rPh sb="5" eb="6">
      <t>リョウ</t>
    </rPh>
    <phoneticPr fontId="10"/>
  </si>
  <si>
    <t>糊廃棄・リサイクル</t>
    <rPh sb="0" eb="1">
      <t>ノリ</t>
    </rPh>
    <rPh sb="1" eb="3">
      <t>ハイキ</t>
    </rPh>
    <phoneticPr fontId="10"/>
  </si>
  <si>
    <t>糊廃棄量</t>
    <rPh sb="0" eb="1">
      <t>ノリ</t>
    </rPh>
    <rPh sb="1" eb="3">
      <t>ハイキ</t>
    </rPh>
    <rPh sb="3" eb="4">
      <t>リョウ</t>
    </rPh>
    <phoneticPr fontId="10"/>
  </si>
  <si>
    <t>本紙部数×頁×高さ㎜</t>
    <rPh sb="0" eb="2">
      <t>ホンシ</t>
    </rPh>
    <rPh sb="2" eb="4">
      <t>ブスウ</t>
    </rPh>
    <rPh sb="5" eb="6">
      <t>ページ</t>
    </rPh>
    <rPh sb="7" eb="8">
      <t>タカ</t>
    </rPh>
    <phoneticPr fontId="10"/>
  </si>
  <si>
    <t>部・頁・㎜</t>
    <rPh sb="0" eb="1">
      <t>ブ</t>
    </rPh>
    <rPh sb="2" eb="3">
      <t>ページ</t>
    </rPh>
    <phoneticPr fontId="10"/>
  </si>
  <si>
    <t>針金廃棄</t>
    <rPh sb="0" eb="2">
      <t>ハリガネ</t>
    </rPh>
    <rPh sb="2" eb="4">
      <t>ハイキ</t>
    </rPh>
    <phoneticPr fontId="10"/>
  </si>
  <si>
    <t>針金廃棄量</t>
    <rPh sb="0" eb="2">
      <t>ハリガネ</t>
    </rPh>
    <rPh sb="2" eb="4">
      <t>ハイキ</t>
    </rPh>
    <rPh sb="4" eb="5">
      <t>リョウ</t>
    </rPh>
    <phoneticPr fontId="10"/>
  </si>
  <si>
    <t>本紙部数</t>
    <rPh sb="0" eb="2">
      <t>ホンシ</t>
    </rPh>
    <rPh sb="2" eb="4">
      <t>ブスウ</t>
    </rPh>
    <phoneticPr fontId="10"/>
  </si>
  <si>
    <t>コート層廃棄量</t>
    <rPh sb="3" eb="4">
      <t>ソウ</t>
    </rPh>
    <rPh sb="4" eb="6">
      <t>ハイキ</t>
    </rPh>
    <rPh sb="6" eb="7">
      <t>リョウ</t>
    </rPh>
    <phoneticPr fontId="10"/>
  </si>
  <si>
    <t>封筒廃棄・リサイクル</t>
    <rPh sb="0" eb="2">
      <t>フウトウ</t>
    </rPh>
    <rPh sb="2" eb="4">
      <t>ハイキ</t>
    </rPh>
    <phoneticPr fontId="10"/>
  </si>
  <si>
    <t>説明</t>
    <rPh sb="0" eb="2">
      <t>セツメイ</t>
    </rPh>
    <phoneticPr fontId="10"/>
  </si>
  <si>
    <t>kg-CO2/tkm</t>
  </si>
  <si>
    <t>★</t>
    <phoneticPr fontId="10"/>
  </si>
  <si>
    <t>梱包資材輸送廃棄</t>
    <rPh sb="0" eb="2">
      <t>コンポウ</t>
    </rPh>
    <rPh sb="2" eb="4">
      <t>シザイ</t>
    </rPh>
    <rPh sb="4" eb="6">
      <t>ユソウ</t>
    </rPh>
    <rPh sb="6" eb="8">
      <t>ハイキ</t>
    </rPh>
    <phoneticPr fontId="10"/>
  </si>
  <si>
    <t>㎏-CO2/枚</t>
    <rPh sb="6" eb="7">
      <t>マイ</t>
    </rPh>
    <phoneticPr fontId="10"/>
  </si>
  <si>
    <t>梱包資材廃棄量</t>
    <rPh sb="0" eb="2">
      <t>コンポウ</t>
    </rPh>
    <rPh sb="2" eb="4">
      <t>シザイ</t>
    </rPh>
    <rPh sb="4" eb="6">
      <t>ハイキ</t>
    </rPh>
    <rPh sb="6" eb="7">
      <t>リョウ</t>
    </rPh>
    <phoneticPr fontId="10"/>
  </si>
  <si>
    <t>廃棄ﾘｻｲｸﾙ</t>
    <rPh sb="0" eb="2">
      <t>ハイキ</t>
    </rPh>
    <phoneticPr fontId="10"/>
  </si>
  <si>
    <t>糊廃棄</t>
    <rPh sb="0" eb="1">
      <t>ノリ</t>
    </rPh>
    <rPh sb="1" eb="3">
      <t>ハイキ</t>
    </rPh>
    <phoneticPr fontId="10"/>
  </si>
  <si>
    <t>PCR原単位</t>
    <phoneticPr fontId="10"/>
  </si>
  <si>
    <t>㎏-CO2/部</t>
    <rPh sb="6" eb="7">
      <t>ブ</t>
    </rPh>
    <phoneticPr fontId="10"/>
  </si>
  <si>
    <t>PCR原単位</t>
    <phoneticPr fontId="10"/>
  </si>
  <si>
    <t>針金廃棄・リサイクル</t>
    <rPh sb="0" eb="2">
      <t>ハリガネ</t>
    </rPh>
    <rPh sb="2" eb="4">
      <t>ハイキ</t>
    </rPh>
    <phoneticPr fontId="10"/>
  </si>
  <si>
    <t>PCR原単位</t>
    <phoneticPr fontId="10"/>
  </si>
  <si>
    <t>㎏-CO2/部・頁・mm</t>
    <rPh sb="6" eb="7">
      <t>ブ</t>
    </rPh>
    <rPh sb="8" eb="9">
      <t>ページ</t>
    </rPh>
    <phoneticPr fontId="10"/>
  </si>
  <si>
    <t>PCR原単位</t>
    <phoneticPr fontId="10"/>
  </si>
  <si>
    <t>●インキ廃棄・リサイクル</t>
    <rPh sb="4" eb="6">
      <t>ハイキ</t>
    </rPh>
    <phoneticPr fontId="10"/>
  </si>
  <si>
    <t>㎏-CO2/枚・色</t>
    <rPh sb="6" eb="7">
      <t>マイ</t>
    </rPh>
    <rPh sb="8" eb="9">
      <t>イロ</t>
    </rPh>
    <phoneticPr fontId="10"/>
  </si>
  <si>
    <t>Ａ-JP428001</t>
    <phoneticPr fontId="10"/>
  </si>
  <si>
    <t>紙系廃棄物のリサイクル準備処理</t>
    <rPh sb="0" eb="1">
      <t>カミ</t>
    </rPh>
    <rPh sb="1" eb="2">
      <t>ケイ</t>
    </rPh>
    <rPh sb="2" eb="5">
      <t>ハイキブツ</t>
    </rPh>
    <rPh sb="11" eb="13">
      <t>ジュンビ</t>
    </rPh>
    <rPh sb="13" eb="15">
      <t>ショリ</t>
    </rPh>
    <phoneticPr fontId="10"/>
  </si>
  <si>
    <t>㎏-CO2/㎏</t>
    <phoneticPr fontId="10"/>
  </si>
  <si>
    <t>Ｂ-JP428002</t>
    <phoneticPr fontId="10"/>
  </si>
  <si>
    <t>焼却処理（一般廃棄物）</t>
    <rPh sb="0" eb="2">
      <t>ショウキャク</t>
    </rPh>
    <rPh sb="2" eb="4">
      <t>ショリ</t>
    </rPh>
    <rPh sb="5" eb="7">
      <t>イッパン</t>
    </rPh>
    <rPh sb="7" eb="10">
      <t>ハイキブツ</t>
    </rPh>
    <phoneticPr fontId="10"/>
  </si>
  <si>
    <t>リサイクル</t>
    <phoneticPr fontId="10"/>
  </si>
  <si>
    <t>焼却</t>
    <rPh sb="0" eb="2">
      <t>ショウキャク</t>
    </rPh>
    <phoneticPr fontId="10"/>
  </si>
  <si>
    <t>廃棄輸送</t>
    <rPh sb="0" eb="2">
      <t>ハイキ</t>
    </rPh>
    <rPh sb="2" eb="4">
      <t>ユソウ</t>
    </rPh>
    <phoneticPr fontId="10"/>
  </si>
  <si>
    <t>Ａ1</t>
    <phoneticPr fontId="10"/>
  </si>
  <si>
    <t>Ａ2</t>
  </si>
  <si>
    <t>Ａ3</t>
  </si>
  <si>
    <t>Ａ4</t>
  </si>
  <si>
    <t>Ａ5</t>
  </si>
  <si>
    <t>Ａ6</t>
  </si>
  <si>
    <t>Ａ7</t>
  </si>
  <si>
    <t>Ａ8</t>
  </si>
  <si>
    <t>Ａ9</t>
  </si>
  <si>
    <t>Ａ10</t>
  </si>
  <si>
    <t>Ａ11</t>
  </si>
  <si>
    <t>Ａ12</t>
  </si>
  <si>
    <t>Ａ13</t>
  </si>
  <si>
    <t>Ａ14</t>
  </si>
  <si>
    <t>Ａ15</t>
  </si>
  <si>
    <t>Ａ16</t>
  </si>
  <si>
    <t>Ａ17</t>
  </si>
  <si>
    <t>Ａ18</t>
  </si>
  <si>
    <t>Ａ19</t>
  </si>
  <si>
    <t>A20</t>
    <phoneticPr fontId="10"/>
  </si>
  <si>
    <t>A23</t>
  </si>
  <si>
    <t>A24</t>
  </si>
  <si>
    <t>Ｂ1</t>
    <phoneticPr fontId="10"/>
  </si>
  <si>
    <t>Ｂ2</t>
  </si>
  <si>
    <t>Ｂ3</t>
  </si>
  <si>
    <t>Ｂ4</t>
  </si>
  <si>
    <t>Ｂ5</t>
  </si>
  <si>
    <t>Ｂ6</t>
  </si>
  <si>
    <t>Ｂ7</t>
  </si>
  <si>
    <t>Ｂ8</t>
  </si>
  <si>
    <t>Ｂ9</t>
  </si>
  <si>
    <t>Ｂ10</t>
  </si>
  <si>
    <t>Ｂ11</t>
  </si>
  <si>
    <t>Ｂ12</t>
  </si>
  <si>
    <t>Ｂ13</t>
  </si>
  <si>
    <t>Ｂ14</t>
  </si>
  <si>
    <t>Ｂ15</t>
  </si>
  <si>
    <t>Ｂ16</t>
  </si>
  <si>
    <t>Ｂ17</t>
  </si>
  <si>
    <t>Ｃ１</t>
    <phoneticPr fontId="10"/>
  </si>
  <si>
    <t>Ｃ２</t>
  </si>
  <si>
    <t>Ｃ3</t>
    <phoneticPr fontId="10"/>
  </si>
  <si>
    <t>Ｃ4</t>
    <phoneticPr fontId="10"/>
  </si>
  <si>
    <t>Ｃ5</t>
    <phoneticPr fontId="10"/>
  </si>
  <si>
    <t>Ｃ6</t>
    <phoneticPr fontId="10"/>
  </si>
  <si>
    <t>Ｃ8</t>
    <phoneticPr fontId="10"/>
  </si>
  <si>
    <t>Ｄ1</t>
    <phoneticPr fontId="10"/>
  </si>
  <si>
    <t>Ｄ2</t>
    <phoneticPr fontId="10"/>
  </si>
  <si>
    <t>E1</t>
    <phoneticPr fontId="10"/>
  </si>
  <si>
    <t>Ｅ6</t>
  </si>
  <si>
    <t>Ｅ7</t>
  </si>
  <si>
    <t>Ｅ8</t>
  </si>
  <si>
    <t>Ｅ9</t>
  </si>
  <si>
    <t>Ｅ10</t>
  </si>
  <si>
    <t>Ｅ11</t>
  </si>
  <si>
    <t>Ｅ12</t>
  </si>
  <si>
    <t>Ｅ13</t>
  </si>
  <si>
    <t>ａ1</t>
    <phoneticPr fontId="10"/>
  </si>
  <si>
    <t>ｂ1</t>
    <phoneticPr fontId="10"/>
  </si>
  <si>
    <t>ｃ1</t>
    <phoneticPr fontId="10"/>
  </si>
  <si>
    <t>a1</t>
    <phoneticPr fontId="10"/>
  </si>
  <si>
    <t>b1</t>
    <phoneticPr fontId="10"/>
  </si>
  <si>
    <t>c1</t>
    <phoneticPr fontId="10"/>
  </si>
  <si>
    <t>カーボンフットプリントコミュニケーションプログラム　基本データベースver. 1.01 (国内データ)</t>
    <phoneticPr fontId="10"/>
  </si>
  <si>
    <t>カーボンフットプリントコミュニケーションプログラム　利用可能データ（国内）ver. 1.04</t>
    <phoneticPr fontId="10"/>
  </si>
  <si>
    <t>ＰＣＲ原単位および検証済み製品のCFP値</t>
    <rPh sb="3" eb="6">
      <t>ゲンタンイ</t>
    </rPh>
    <rPh sb="9" eb="11">
      <t>ケンショウ</t>
    </rPh>
    <rPh sb="11" eb="12">
      <t>ズ</t>
    </rPh>
    <rPh sb="13" eb="15">
      <t>セイヒン</t>
    </rPh>
    <rPh sb="19" eb="20">
      <t>アタイ</t>
    </rPh>
    <phoneticPr fontId="10"/>
  </si>
  <si>
    <t>●原単位の参照</t>
    <rPh sb="1" eb="4">
      <t>ゲンタンイ</t>
    </rPh>
    <rPh sb="5" eb="7">
      <t>サンショウ</t>
    </rPh>
    <phoneticPr fontId="10"/>
  </si>
  <si>
    <t>1ロットあたり</t>
    <phoneticPr fontId="10"/>
  </si>
  <si>
    <t>PA-BS-05</t>
    <phoneticPr fontId="10"/>
  </si>
  <si>
    <t>商業および一般証券印刷物</t>
    <rPh sb="0" eb="2">
      <t>ショウギョウ</t>
    </rPh>
    <rPh sb="5" eb="7">
      <t>イッパン</t>
    </rPh>
    <rPh sb="7" eb="9">
      <t>ショウケン</t>
    </rPh>
    <rPh sb="9" eb="12">
      <t>インサツブツ</t>
    </rPh>
    <phoneticPr fontId="10"/>
  </si>
  <si>
    <t>参照番号</t>
    <rPh sb="0" eb="2">
      <t>サンショウ</t>
    </rPh>
    <rPh sb="2" eb="4">
      <t>バンゴウ</t>
    </rPh>
    <phoneticPr fontId="10"/>
  </si>
  <si>
    <t>ふりがな</t>
    <phoneticPr fontId="10"/>
  </si>
  <si>
    <t>Ｆａｘ</t>
    <phoneticPr fontId="10"/>
  </si>
  <si>
    <t>役職</t>
    <rPh sb="0" eb="2">
      <t>ヤクショク</t>
    </rPh>
    <phoneticPr fontId="10"/>
  </si>
  <si>
    <t>Email</t>
    <phoneticPr fontId="67"/>
  </si>
  <si>
    <t>携帯電話</t>
    <rPh sb="0" eb="2">
      <t>ケイタイ</t>
    </rPh>
    <rPh sb="2" eb="4">
      <t>デンワ</t>
    </rPh>
    <phoneticPr fontId="10"/>
  </si>
  <si>
    <t>電話番号(担当者に連絡がつくもの)</t>
    <rPh sb="0" eb="2">
      <t>デンワ</t>
    </rPh>
    <rPh sb="2" eb="4">
      <t>バンゴウ</t>
    </rPh>
    <rPh sb="5" eb="8">
      <t>タントウシャ</t>
    </rPh>
    <rPh sb="9" eb="11">
      <t>レンラク</t>
    </rPh>
    <phoneticPr fontId="67"/>
  </si>
  <si>
    <t>住所</t>
    <rPh sb="0" eb="2">
      <t>ジュウショ</t>
    </rPh>
    <phoneticPr fontId="10"/>
  </si>
  <si>
    <t>郵便番号</t>
    <rPh sb="0" eb="4">
      <t>ユウビンバンゴウ</t>
    </rPh>
    <phoneticPr fontId="10"/>
  </si>
  <si>
    <t>ビル名</t>
    <rPh sb="2" eb="3">
      <t>メイ</t>
    </rPh>
    <phoneticPr fontId="10"/>
  </si>
  <si>
    <t>★マークはＰＤＦとなりWEBサイトで公開される内容となります。</t>
    <rPh sb="18" eb="20">
      <t>コウカイ</t>
    </rPh>
    <rPh sb="23" eb="25">
      <t>ナイヨウ</t>
    </rPh>
    <phoneticPr fontId="10"/>
  </si>
  <si>
    <t>PS版の種類（選択してください）</t>
    <rPh sb="2" eb="3">
      <t>バン</t>
    </rPh>
    <rPh sb="4" eb="6">
      <t>シュルイ</t>
    </rPh>
    <rPh sb="7" eb="9">
      <t>センタク</t>
    </rPh>
    <phoneticPr fontId="10"/>
  </si>
  <si>
    <t>折り（選択してください）</t>
    <rPh sb="0" eb="1">
      <t>オリ</t>
    </rPh>
    <rPh sb="3" eb="5">
      <t>センタク</t>
    </rPh>
    <phoneticPr fontId="10"/>
  </si>
  <si>
    <t>綴じ方式（選択してください）</t>
    <rPh sb="0" eb="1">
      <t>ト</t>
    </rPh>
    <rPh sb="2" eb="4">
      <t>ホウシキ</t>
    </rPh>
    <rPh sb="5" eb="7">
      <t>センタク</t>
    </rPh>
    <phoneticPr fontId="10"/>
  </si>
  <si>
    <t>紙の種類（選択してください）</t>
    <rPh sb="0" eb="1">
      <t>カミ</t>
    </rPh>
    <rPh sb="2" eb="4">
      <t>シュルイ</t>
    </rPh>
    <rPh sb="5" eb="7">
      <t>センタク</t>
    </rPh>
    <phoneticPr fontId="10"/>
  </si>
  <si>
    <t>用紙サイズ（選択してください）</t>
    <rPh sb="0" eb="2">
      <t>ヨウシ</t>
    </rPh>
    <rPh sb="6" eb="8">
      <t>センタク</t>
    </rPh>
    <phoneticPr fontId="10"/>
  </si>
  <si>
    <t>部</t>
    <rPh sb="0" eb="1">
      <t>ブ</t>
    </rPh>
    <phoneticPr fontId="67"/>
  </si>
  <si>
    <t>PS版サイズ（タテ）</t>
    <rPh sb="2" eb="3">
      <t>バン</t>
    </rPh>
    <phoneticPr fontId="67"/>
  </si>
  <si>
    <t>PS版サイズ（ヨコ）</t>
    <rPh sb="2" eb="3">
      <t>バン</t>
    </rPh>
    <phoneticPr fontId="67"/>
  </si>
  <si>
    <t>本紙重量（非塗工用紙を除く）</t>
    <rPh sb="0" eb="2">
      <t>ホンシ</t>
    </rPh>
    <rPh sb="2" eb="4">
      <t>ジュウリョウ</t>
    </rPh>
    <rPh sb="5" eb="6">
      <t>ヒ</t>
    </rPh>
    <rPh sb="6" eb="7">
      <t>ヌ</t>
    </rPh>
    <rPh sb="7" eb="8">
      <t>コウ</t>
    </rPh>
    <rPh sb="8" eb="10">
      <t>ヨウシ</t>
    </rPh>
    <rPh sb="11" eb="12">
      <t>ノゾ</t>
    </rPh>
    <phoneticPr fontId="10"/>
  </si>
  <si>
    <t>色数（表）</t>
    <rPh sb="0" eb="1">
      <t>イロ</t>
    </rPh>
    <rPh sb="1" eb="2">
      <t>カズ</t>
    </rPh>
    <rPh sb="3" eb="4">
      <t>オモテ</t>
    </rPh>
    <phoneticPr fontId="67"/>
  </si>
  <si>
    <t>色数（裏）</t>
    <rPh sb="0" eb="1">
      <t>イロ</t>
    </rPh>
    <rPh sb="1" eb="2">
      <t>カズ</t>
    </rPh>
    <rPh sb="3" eb="4">
      <t>ウラ</t>
    </rPh>
    <phoneticPr fontId="10"/>
  </si>
  <si>
    <t>被印刷物①輸送</t>
    <rPh sb="0" eb="1">
      <t>ヒ</t>
    </rPh>
    <rPh sb="1" eb="4">
      <t>インサツブツ</t>
    </rPh>
    <rPh sb="5" eb="7">
      <t>ユソウ</t>
    </rPh>
    <phoneticPr fontId="10"/>
  </si>
  <si>
    <t>被印刷物②輸送</t>
    <rPh sb="0" eb="1">
      <t>ヒ</t>
    </rPh>
    <rPh sb="1" eb="4">
      <t>インサツブツ</t>
    </rPh>
    <rPh sb="5" eb="7">
      <t>ユソウ</t>
    </rPh>
    <phoneticPr fontId="10"/>
  </si>
  <si>
    <t>被印刷物③輸送</t>
    <rPh sb="0" eb="1">
      <t>ヒ</t>
    </rPh>
    <rPh sb="1" eb="4">
      <t>インサツブツ</t>
    </rPh>
    <rPh sb="5" eb="7">
      <t>ユソウ</t>
    </rPh>
    <phoneticPr fontId="10"/>
  </si>
  <si>
    <t>被印刷物④輸送</t>
    <rPh sb="0" eb="1">
      <t>ヒ</t>
    </rPh>
    <rPh sb="1" eb="4">
      <t>インサツブツ</t>
    </rPh>
    <rPh sb="5" eb="7">
      <t>ユソウ</t>
    </rPh>
    <phoneticPr fontId="10"/>
  </si>
  <si>
    <t>被印刷物⑤輸送</t>
    <rPh sb="0" eb="1">
      <t>ヒ</t>
    </rPh>
    <rPh sb="1" eb="4">
      <t>インサツブツ</t>
    </rPh>
    <rPh sb="5" eb="7">
      <t>ユソウ</t>
    </rPh>
    <phoneticPr fontId="10"/>
  </si>
  <si>
    <t>kg</t>
    <phoneticPr fontId="10"/>
  </si>
  <si>
    <t>kg</t>
    <phoneticPr fontId="10"/>
  </si>
  <si>
    <t>本紙枚数+印刷予備枚数+製本予備枚数ｋｇ</t>
    <rPh sb="0" eb="2">
      <t>ホンシ</t>
    </rPh>
    <rPh sb="2" eb="4">
      <t>マイスウ</t>
    </rPh>
    <rPh sb="5" eb="7">
      <t>インサツ</t>
    </rPh>
    <rPh sb="7" eb="9">
      <t>ヨビ</t>
    </rPh>
    <rPh sb="9" eb="11">
      <t>マイスウ</t>
    </rPh>
    <rPh sb="12" eb="14">
      <t>セイホン</t>
    </rPh>
    <rPh sb="14" eb="16">
      <t>ヨビ</t>
    </rPh>
    <rPh sb="16" eb="18">
      <t>マイスウ</t>
    </rPh>
    <phoneticPr fontId="10"/>
  </si>
  <si>
    <t>kg-CO3/tkm</t>
  </si>
  <si>
    <t>kg-CO4/tkm</t>
  </si>
  <si>
    <t>kg-CO5/tkm</t>
  </si>
  <si>
    <t>kg-CO6/tkm</t>
  </si>
  <si>
    <t>A21</t>
  </si>
  <si>
    <t>A22</t>
  </si>
  <si>
    <t>サイト間輸送　</t>
    <rPh sb="3" eb="4">
      <t>カン</t>
    </rPh>
    <rPh sb="4" eb="6">
      <t>ユソウ</t>
    </rPh>
    <phoneticPr fontId="10"/>
  </si>
  <si>
    <t>市内</t>
    <rPh sb="0" eb="2">
      <t>シナイ</t>
    </rPh>
    <phoneticPr fontId="10"/>
  </si>
  <si>
    <t>県内</t>
    <rPh sb="0" eb="2">
      <t>ケンナイ</t>
    </rPh>
    <phoneticPr fontId="10"/>
  </si>
  <si>
    <t>不明</t>
    <rPh sb="0" eb="2">
      <t>フメイ</t>
    </rPh>
    <phoneticPr fontId="10"/>
  </si>
  <si>
    <t>PCRシナリオより市内：50km、県内および不明の場合は100㎞</t>
    <rPh sb="9" eb="11">
      <t>シナイ</t>
    </rPh>
    <rPh sb="17" eb="19">
      <t>ケンナイ</t>
    </rPh>
    <rPh sb="22" eb="24">
      <t>フメイ</t>
    </rPh>
    <rPh sb="25" eb="27">
      <t>バアイ</t>
    </rPh>
    <phoneticPr fontId="10"/>
  </si>
  <si>
    <t>全国</t>
    <rPh sb="0" eb="2">
      <t>ゼンコク</t>
    </rPh>
    <phoneticPr fontId="10"/>
  </si>
  <si>
    <t>Ｂ18</t>
    <phoneticPr fontId="10"/>
  </si>
  <si>
    <t>●封筒・輸送用資材（プラ製封筒）の製造・輸送</t>
    <rPh sb="1" eb="3">
      <t>フウトウ</t>
    </rPh>
    <rPh sb="4" eb="7">
      <t>ユソウヨウ</t>
    </rPh>
    <rPh sb="7" eb="9">
      <t>シザイ</t>
    </rPh>
    <rPh sb="12" eb="13">
      <t>セイ</t>
    </rPh>
    <rPh sb="13" eb="15">
      <t>フウトウ</t>
    </rPh>
    <rPh sb="17" eb="19">
      <t>セイゾウ</t>
    </rPh>
    <rPh sb="20" eb="22">
      <t>ユソウ</t>
    </rPh>
    <phoneticPr fontId="10"/>
  </si>
  <si>
    <t>プラスチック製封筒の場合、封筒1枚あたり重量</t>
    <rPh sb="6" eb="7">
      <t>セイ</t>
    </rPh>
    <rPh sb="7" eb="9">
      <t>フウトウ</t>
    </rPh>
    <rPh sb="10" eb="12">
      <t>バアイ</t>
    </rPh>
    <rPh sb="13" eb="15">
      <t>フウトウ</t>
    </rPh>
    <rPh sb="16" eb="17">
      <t>マイ</t>
    </rPh>
    <rPh sb="20" eb="22">
      <t>ジュウリョウ</t>
    </rPh>
    <phoneticPr fontId="10"/>
  </si>
  <si>
    <t>g</t>
    <phoneticPr fontId="67"/>
  </si>
  <si>
    <t>プラスチック製封筒</t>
    <rPh sb="6" eb="7">
      <t>セイ</t>
    </rPh>
    <rPh sb="7" eb="9">
      <t>フウトウ</t>
    </rPh>
    <phoneticPr fontId="10"/>
  </si>
  <si>
    <t>輸送資材（紙製封筒）製造および輸送</t>
    <rPh sb="0" eb="2">
      <t>ユソウ</t>
    </rPh>
    <rPh sb="2" eb="4">
      <t>シザイ</t>
    </rPh>
    <rPh sb="5" eb="7">
      <t>カミセイ</t>
    </rPh>
    <rPh sb="7" eb="9">
      <t>フウトウ</t>
    </rPh>
    <rPh sb="10" eb="12">
      <t>セイゾウ</t>
    </rPh>
    <rPh sb="15" eb="17">
      <t>ユソウ</t>
    </rPh>
    <phoneticPr fontId="10"/>
  </si>
  <si>
    <t>プラスチック製輸送資材の製造</t>
    <rPh sb="6" eb="7">
      <t>セイ</t>
    </rPh>
    <rPh sb="7" eb="9">
      <t>ユソウ</t>
    </rPh>
    <rPh sb="9" eb="11">
      <t>シザイ</t>
    </rPh>
    <rPh sb="12" eb="14">
      <t>セイゾウ</t>
    </rPh>
    <phoneticPr fontId="10"/>
  </si>
  <si>
    <t>g</t>
    <phoneticPr fontId="10"/>
  </si>
  <si>
    <t>g</t>
    <phoneticPr fontId="10"/>
  </si>
  <si>
    <t>プラスチック製封筒重量×枚数</t>
    <rPh sb="6" eb="7">
      <t>セイ</t>
    </rPh>
    <rPh sb="7" eb="9">
      <t>フウトウ</t>
    </rPh>
    <rPh sb="9" eb="11">
      <t>ジュウリョウ</t>
    </rPh>
    <rPh sb="12" eb="14">
      <t>マイスウ</t>
    </rPh>
    <phoneticPr fontId="10"/>
  </si>
  <si>
    <t>プラスチック製輸送資材輸送量</t>
    <rPh sb="6" eb="7">
      <t>セイ</t>
    </rPh>
    <rPh sb="7" eb="9">
      <t>ユソウ</t>
    </rPh>
    <rPh sb="9" eb="11">
      <t>シザイ</t>
    </rPh>
    <rPh sb="11" eb="14">
      <t>ユソウリョウ</t>
    </rPh>
    <phoneticPr fontId="10"/>
  </si>
  <si>
    <t>プラスチック製輸送資材の製造</t>
    <phoneticPr fontId="10"/>
  </si>
  <si>
    <t>プラスチック製輸送資材の輸送</t>
    <rPh sb="12" eb="14">
      <t>ユソウ</t>
    </rPh>
    <phoneticPr fontId="10"/>
  </si>
  <si>
    <t>返信率</t>
    <rPh sb="0" eb="2">
      <t>ヘンシン</t>
    </rPh>
    <rPh sb="2" eb="3">
      <t>リツ</t>
    </rPh>
    <phoneticPr fontId="10"/>
  </si>
  <si>
    <t>％</t>
    <phoneticPr fontId="10"/>
  </si>
  <si>
    <t>紙製封筒廃棄</t>
    <rPh sb="0" eb="2">
      <t>カミセイ</t>
    </rPh>
    <rPh sb="2" eb="4">
      <t>フウトウ</t>
    </rPh>
    <rPh sb="4" eb="6">
      <t>ハイキ</t>
    </rPh>
    <phoneticPr fontId="10"/>
  </si>
  <si>
    <t>プラ製封筒廃棄</t>
    <rPh sb="2" eb="3">
      <t>セイ</t>
    </rPh>
    <rPh sb="3" eb="5">
      <t>フウトウ</t>
    </rPh>
    <rPh sb="5" eb="7">
      <t>ハイキ</t>
    </rPh>
    <phoneticPr fontId="10"/>
  </si>
  <si>
    <t>封筒廃棄量</t>
    <rPh sb="0" eb="2">
      <t>フウトウ</t>
    </rPh>
    <rPh sb="2" eb="4">
      <t>ハイキ</t>
    </rPh>
    <rPh sb="4" eb="5">
      <t>リョウ</t>
    </rPh>
    <phoneticPr fontId="10"/>
  </si>
  <si>
    <t>Ｅ14</t>
  </si>
  <si>
    <t>プラ製封筒重量</t>
    <rPh sb="2" eb="3">
      <t>セイ</t>
    </rPh>
    <rPh sb="3" eb="5">
      <t>フウトウ</t>
    </rPh>
    <rPh sb="5" eb="7">
      <t>ジュウリョウ</t>
    </rPh>
    <phoneticPr fontId="10"/>
  </si>
  <si>
    <t>ポリエチレン（PE）の燃焼に由来するCO2発生量</t>
    <phoneticPr fontId="10"/>
  </si>
  <si>
    <t>A-JP428008</t>
  </si>
  <si>
    <t>kg-CO2/kg-樹脂</t>
    <rPh sb="10" eb="12">
      <t>ジュシ</t>
    </rPh>
    <phoneticPr fontId="10"/>
  </si>
  <si>
    <t>返信用紙重量（1枚あたり）</t>
    <rPh sb="0" eb="2">
      <t>ヘンシン</t>
    </rPh>
    <rPh sb="2" eb="4">
      <t>ヨウシ</t>
    </rPh>
    <rPh sb="4" eb="6">
      <t>ジュウリョウ</t>
    </rPh>
    <rPh sb="8" eb="9">
      <t>マイ</t>
    </rPh>
    <phoneticPr fontId="10"/>
  </si>
  <si>
    <t>対象エリア（選択してください）</t>
    <rPh sb="0" eb="2">
      <t>タイショウ</t>
    </rPh>
    <rPh sb="6" eb="8">
      <t>センタク</t>
    </rPh>
    <phoneticPr fontId="10"/>
  </si>
  <si>
    <t>●紙のサイズ</t>
    <rPh sb="1" eb="2">
      <t>カミ</t>
    </rPh>
    <phoneticPr fontId="10"/>
  </si>
  <si>
    <t>B6</t>
  </si>
  <si>
    <t>B2</t>
    <phoneticPr fontId="10"/>
  </si>
  <si>
    <t>B3</t>
  </si>
  <si>
    <t>B4</t>
  </si>
  <si>
    <t>B5</t>
  </si>
  <si>
    <t>A2</t>
    <phoneticPr fontId="10"/>
  </si>
  <si>
    <t>A3</t>
  </si>
  <si>
    <t>A4</t>
  </si>
  <si>
    <t>A5</t>
  </si>
  <si>
    <t>A6</t>
  </si>
  <si>
    <t>タテ</t>
    <phoneticPr fontId="10"/>
  </si>
  <si>
    <t>ヨコ</t>
    <phoneticPr fontId="10"/>
  </si>
  <si>
    <t>オフセット印刷機電力算定表</t>
    <rPh sb="5" eb="7">
      <t>インサツ</t>
    </rPh>
    <rPh sb="7" eb="8">
      <t>キ</t>
    </rPh>
    <rPh sb="8" eb="10">
      <t>デンリョク</t>
    </rPh>
    <rPh sb="10" eb="12">
      <t>サンテイ</t>
    </rPh>
    <rPh sb="12" eb="13">
      <t>ヒョウ</t>
    </rPh>
    <phoneticPr fontId="10"/>
  </si>
  <si>
    <t>②</t>
    <phoneticPr fontId="10"/>
  </si>
  <si>
    <t>①</t>
    <phoneticPr fontId="10"/>
  </si>
  <si>
    <t>封筒重量×本紙部数×返信率</t>
    <rPh sb="0" eb="2">
      <t>フウトウ</t>
    </rPh>
    <rPh sb="2" eb="4">
      <t>ジュウリョウ</t>
    </rPh>
    <rPh sb="5" eb="7">
      <t>ホンシ</t>
    </rPh>
    <rPh sb="7" eb="9">
      <t>ブスウ</t>
    </rPh>
    <rPh sb="10" eb="12">
      <t>ヘンシン</t>
    </rPh>
    <rPh sb="12" eb="13">
      <t>リツ</t>
    </rPh>
    <phoneticPr fontId="10"/>
  </si>
  <si>
    <t>返信用紙重量×本紙部数×返信率</t>
    <rPh sb="0" eb="2">
      <t>ヘンシン</t>
    </rPh>
    <rPh sb="2" eb="4">
      <t>ヨウシ</t>
    </rPh>
    <rPh sb="4" eb="6">
      <t>ジュウリョウ</t>
    </rPh>
    <rPh sb="7" eb="9">
      <t>ホンシ</t>
    </rPh>
    <rPh sb="9" eb="11">
      <t>ブスウ</t>
    </rPh>
    <rPh sb="12" eb="14">
      <t>ヘンシン</t>
    </rPh>
    <rPh sb="14" eb="15">
      <t>リツ</t>
    </rPh>
    <phoneticPr fontId="10"/>
  </si>
  <si>
    <t>ｋW</t>
    <phoneticPr fontId="67"/>
  </si>
  <si>
    <t>準備負荷率/印刷定格電力</t>
    <rPh sb="0" eb="2">
      <t>ジュンビ</t>
    </rPh>
    <rPh sb="2" eb="4">
      <t>フカ</t>
    </rPh>
    <rPh sb="4" eb="5">
      <t>リツ</t>
    </rPh>
    <rPh sb="6" eb="8">
      <t>インサツ</t>
    </rPh>
    <rPh sb="8" eb="10">
      <t>テイカク</t>
    </rPh>
    <rPh sb="10" eb="12">
      <t>デンリョク</t>
    </rPh>
    <phoneticPr fontId="10"/>
  </si>
  <si>
    <t>印刷負荷率/印刷定格電力</t>
    <rPh sb="0" eb="2">
      <t>インサツ</t>
    </rPh>
    <rPh sb="2" eb="4">
      <t>フカ</t>
    </rPh>
    <rPh sb="4" eb="5">
      <t>リツ</t>
    </rPh>
    <rPh sb="6" eb="8">
      <t>インサツ</t>
    </rPh>
    <rPh sb="8" eb="10">
      <t>テイカク</t>
    </rPh>
    <rPh sb="10" eb="12">
      <t>デンリョク</t>
    </rPh>
    <phoneticPr fontId="10"/>
  </si>
  <si>
    <t>準備速度率/最大印刷速度</t>
    <rPh sb="0" eb="2">
      <t>ジュンビ</t>
    </rPh>
    <rPh sb="2" eb="4">
      <t>ソクド</t>
    </rPh>
    <rPh sb="4" eb="5">
      <t>リツ</t>
    </rPh>
    <rPh sb="6" eb="8">
      <t>サイダイ</t>
    </rPh>
    <rPh sb="8" eb="10">
      <t>インサツ</t>
    </rPh>
    <rPh sb="10" eb="12">
      <t>ソクド</t>
    </rPh>
    <phoneticPr fontId="10"/>
  </si>
  <si>
    <t>印刷速度率/最大印刷速度</t>
    <rPh sb="0" eb="2">
      <t>インサツ</t>
    </rPh>
    <rPh sb="2" eb="4">
      <t>ソクド</t>
    </rPh>
    <rPh sb="4" eb="5">
      <t>リツ</t>
    </rPh>
    <rPh sb="6" eb="8">
      <t>サイダイ</t>
    </rPh>
    <rPh sb="8" eb="10">
      <t>インサツ</t>
    </rPh>
    <rPh sb="10" eb="12">
      <t>ソクド</t>
    </rPh>
    <phoneticPr fontId="10"/>
  </si>
  <si>
    <t>印刷予備紙/準備速度</t>
    <rPh sb="0" eb="2">
      <t>インサツ</t>
    </rPh>
    <rPh sb="2" eb="4">
      <t>ヨビ</t>
    </rPh>
    <rPh sb="4" eb="5">
      <t>カミ</t>
    </rPh>
    <rPh sb="6" eb="8">
      <t>ジュンビ</t>
    </rPh>
    <rPh sb="8" eb="10">
      <t>ソクド</t>
    </rPh>
    <phoneticPr fontId="10"/>
  </si>
  <si>
    <t>（本紙+製本予備紙）/実印刷速度</t>
    <rPh sb="1" eb="3">
      <t>ホンシ</t>
    </rPh>
    <rPh sb="4" eb="6">
      <t>セイホン</t>
    </rPh>
    <rPh sb="6" eb="8">
      <t>ヨビ</t>
    </rPh>
    <rPh sb="8" eb="9">
      <t>シ</t>
    </rPh>
    <rPh sb="11" eb="12">
      <t>ジツ</t>
    </rPh>
    <rPh sb="12" eb="14">
      <t>インサツ</t>
    </rPh>
    <rPh sb="14" eb="16">
      <t>ソクド</t>
    </rPh>
    <phoneticPr fontId="10"/>
  </si>
  <si>
    <t>準備時実電力×準備時間+印刷時実電力×印刷時間</t>
    <rPh sb="0" eb="2">
      <t>ジュンビ</t>
    </rPh>
    <rPh sb="2" eb="3">
      <t>ジ</t>
    </rPh>
    <rPh sb="3" eb="4">
      <t>ジツ</t>
    </rPh>
    <rPh sb="4" eb="6">
      <t>デンリョク</t>
    </rPh>
    <rPh sb="7" eb="9">
      <t>ジュンビ</t>
    </rPh>
    <rPh sb="9" eb="11">
      <t>ジカン</t>
    </rPh>
    <rPh sb="12" eb="14">
      <t>インサツ</t>
    </rPh>
    <rPh sb="14" eb="15">
      <t>ジ</t>
    </rPh>
    <rPh sb="15" eb="16">
      <t>ジツ</t>
    </rPh>
    <rPh sb="16" eb="18">
      <t>デンリョク</t>
    </rPh>
    <rPh sb="19" eb="21">
      <t>インサツ</t>
    </rPh>
    <rPh sb="21" eb="23">
      <t>ジカン</t>
    </rPh>
    <phoneticPr fontId="10"/>
  </si>
  <si>
    <t>ＰＣＲ</t>
  </si>
  <si>
    <t>ＰＣＲ</t>
    <phoneticPr fontId="10"/>
  </si>
  <si>
    <t>●輪転印刷機電力算定表</t>
    <rPh sb="1" eb="3">
      <t>リンテン</t>
    </rPh>
    <rPh sb="3" eb="6">
      <t>インサツキ</t>
    </rPh>
    <phoneticPr fontId="10"/>
  </si>
  <si>
    <t>通し枚/時またはrpm</t>
    <phoneticPr fontId="10"/>
  </si>
  <si>
    <t>最大印刷速度（rpm）</t>
    <rPh sb="0" eb="2">
      <t>サイダイ</t>
    </rPh>
    <rPh sb="2" eb="4">
      <t>インサツ</t>
    </rPh>
    <rPh sb="4" eb="6">
      <t>ソクド</t>
    </rPh>
    <phoneticPr fontId="10"/>
  </si>
  <si>
    <t>●POD</t>
    <phoneticPr fontId="10"/>
  </si>
  <si>
    <t>C7</t>
    <phoneticPr fontId="10"/>
  </si>
  <si>
    <t>kg-CO2/製品kg</t>
    <phoneticPr fontId="10"/>
  </si>
  <si>
    <t>1冊あたり</t>
    <rPh sb="1" eb="2">
      <t>サツ</t>
    </rPh>
    <phoneticPr fontId="10"/>
  </si>
  <si>
    <t>ただし、原材料の投入量については自社のデータを使用していますが、原材料の製造加工負荷についてはデータベース等の一般的な値を使用しており、当製品素材固有の特徴を反映していない可能性があります。そのため、この結果は概算値であることをご理解ください。</t>
    <rPh sb="4" eb="7">
      <t>ゲンザイリョウ</t>
    </rPh>
    <rPh sb="8" eb="10">
      <t>トウニュウ</t>
    </rPh>
    <rPh sb="10" eb="11">
      <t>リョウ</t>
    </rPh>
    <rPh sb="16" eb="18">
      <t>ジシャ</t>
    </rPh>
    <rPh sb="23" eb="25">
      <t>シヨウ</t>
    </rPh>
    <rPh sb="32" eb="35">
      <t>ゲンザイリョウ</t>
    </rPh>
    <rPh sb="36" eb="38">
      <t>セイゾウ</t>
    </rPh>
    <rPh sb="38" eb="40">
      <t>カコウ</t>
    </rPh>
    <rPh sb="40" eb="42">
      <t>フカ</t>
    </rPh>
    <rPh sb="53" eb="54">
      <t>ナド</t>
    </rPh>
    <rPh sb="55" eb="58">
      <t>イッパンテキ</t>
    </rPh>
    <rPh sb="59" eb="60">
      <t>アタイ</t>
    </rPh>
    <rPh sb="61" eb="63">
      <t>シヨウ</t>
    </rPh>
    <rPh sb="68" eb="69">
      <t>トウ</t>
    </rPh>
    <rPh sb="69" eb="71">
      <t>セイヒン</t>
    </rPh>
    <rPh sb="71" eb="73">
      <t>ソザイ</t>
    </rPh>
    <rPh sb="73" eb="75">
      <t>コユウ</t>
    </rPh>
    <rPh sb="76" eb="78">
      <t>トクチョウ</t>
    </rPh>
    <rPh sb="79" eb="81">
      <t>ハンエイ</t>
    </rPh>
    <rPh sb="86" eb="89">
      <t>カノウセイ</t>
    </rPh>
    <rPh sb="102" eb="104">
      <t>ケッカ</t>
    </rPh>
    <rPh sb="105" eb="108">
      <t>ガイサンチ</t>
    </rPh>
    <rPh sb="115" eb="117">
      <t>リカイ</t>
    </rPh>
    <phoneticPr fontId="10"/>
  </si>
  <si>
    <t>印刷用紙の寄与：</t>
    <rPh sb="0" eb="2">
      <t>インサツ</t>
    </rPh>
    <rPh sb="2" eb="4">
      <t>ヨウシ</t>
    </rPh>
    <rPh sb="5" eb="7">
      <t>キヨ</t>
    </rPh>
    <phoneticPr fontId="10"/>
  </si>
  <si>
    <t>原材料調達段階の寄与</t>
    <rPh sb="0" eb="3">
      <t>ゲンザイリョウ</t>
    </rPh>
    <rPh sb="3" eb="5">
      <t>チョウタツ</t>
    </rPh>
    <rPh sb="5" eb="7">
      <t>ダンカイ</t>
    </rPh>
    <rPh sb="8" eb="10">
      <t>キヨ</t>
    </rPh>
    <phoneticPr fontId="10"/>
  </si>
  <si>
    <t>用紙重量（連量・1000枚あたり）</t>
    <rPh sb="0" eb="2">
      <t>ヨウシ</t>
    </rPh>
    <rPh sb="2" eb="4">
      <t>ジュウリョウ</t>
    </rPh>
    <rPh sb="5" eb="6">
      <t>レン</t>
    </rPh>
    <rPh sb="6" eb="7">
      <t>リョウ</t>
    </rPh>
    <rPh sb="12" eb="13">
      <t>マイ</t>
    </rPh>
    <phoneticPr fontId="67"/>
  </si>
  <si>
    <t>非定型</t>
    <rPh sb="0" eb="3">
      <t>ヒテイケイ</t>
    </rPh>
    <phoneticPr fontId="10"/>
  </si>
  <si>
    <t>kg/1000枚</t>
    <rPh sb="7" eb="8">
      <t>マイ</t>
    </rPh>
    <phoneticPr fontId="67"/>
  </si>
  <si>
    <t>全電力消費量</t>
    <rPh sb="0" eb="1">
      <t>ゼン</t>
    </rPh>
    <rPh sb="1" eb="3">
      <t>デンリョク</t>
    </rPh>
    <rPh sb="3" eb="6">
      <t>ショウヒリョウ</t>
    </rPh>
    <phoneticPr fontId="10"/>
  </si>
  <si>
    <t>手入力の場合あり。保護しない</t>
    <rPh sb="0" eb="1">
      <t>テ</t>
    </rPh>
    <rPh sb="1" eb="3">
      <t>ニュウリョク</t>
    </rPh>
    <rPh sb="4" eb="6">
      <t>バアイ</t>
    </rPh>
    <rPh sb="9" eb="11">
      <t>ホゴ</t>
    </rPh>
    <phoneticPr fontId="10"/>
  </si>
  <si>
    <t>なし</t>
    <phoneticPr fontId="10"/>
  </si>
  <si>
    <t>トラック輸送（4トン車：積載率24%）</t>
  </si>
  <si>
    <t>製品（返信用紙）輸送</t>
    <rPh sb="0" eb="2">
      <t>セイヒン</t>
    </rPh>
    <rPh sb="3" eb="5">
      <t>ヘンシン</t>
    </rPh>
    <rPh sb="5" eb="7">
      <t>ヨウシ</t>
    </rPh>
    <rPh sb="8" eb="10">
      <t>ユソウ</t>
    </rPh>
    <phoneticPr fontId="10"/>
  </si>
  <si>
    <t>返信用封筒の種類・サイズ（選択してください。ない場合は「なし」を選択）</t>
    <rPh sb="0" eb="2">
      <t>ヘンシン</t>
    </rPh>
    <rPh sb="2" eb="3">
      <t>ヨウ</t>
    </rPh>
    <rPh sb="3" eb="5">
      <t>フウトウ</t>
    </rPh>
    <rPh sb="6" eb="8">
      <t>シュルイ</t>
    </rPh>
    <rPh sb="13" eb="15">
      <t>センタク</t>
    </rPh>
    <rPh sb="24" eb="26">
      <t>バアイ</t>
    </rPh>
    <rPh sb="32" eb="34">
      <t>センタク</t>
    </rPh>
    <phoneticPr fontId="10"/>
  </si>
  <si>
    <t>封筒の種類・サイズ（選択してください。ない場合は「なし」を選択）</t>
    <rPh sb="0" eb="2">
      <t>フウトウ</t>
    </rPh>
    <rPh sb="3" eb="5">
      <t>シュルイ</t>
    </rPh>
    <rPh sb="10" eb="12">
      <t>センタク</t>
    </rPh>
    <phoneticPr fontId="10"/>
  </si>
  <si>
    <t>mm</t>
    <phoneticPr fontId="10"/>
  </si>
  <si>
    <t>対応</t>
    <rPh sb="0" eb="2">
      <t>タイオウ</t>
    </rPh>
    <phoneticPr fontId="10"/>
  </si>
  <si>
    <t>対応内容</t>
    <rPh sb="0" eb="2">
      <t>タイオウ</t>
    </rPh>
    <rPh sb="2" eb="4">
      <t>ナイヨウ</t>
    </rPh>
    <phoneticPr fontId="10"/>
  </si>
  <si>
    <t>修正済み</t>
    <rPh sb="0" eb="2">
      <t>シュウセイ</t>
    </rPh>
    <rPh sb="2" eb="3">
      <t>ズ</t>
    </rPh>
    <phoneticPr fontId="10"/>
  </si>
  <si>
    <t xml:space="preserve">・｢個別製品情報入力シート｣の”製品発送用封筒の情報”と”アンケート等で返送がある場合”について、非選択を選ぶことができない。
</t>
    <phoneticPr fontId="10"/>
  </si>
  <si>
    <t>原材料調達の梱包資材は顧客への納品時に梱包するためのもの。
流通段階の輸送資材は納品された顧客が印刷物の読み手へ発送するときのもの。
使用段階の封筒はアンケート等読み手が返送をするときのもの。
回収がないものについてはサイズ欄で「なし」を選ぶよう説明を追加。</t>
    <rPh sb="0" eb="3">
      <t>ゲンザイリョウ</t>
    </rPh>
    <rPh sb="3" eb="5">
      <t>チョウタツ</t>
    </rPh>
    <rPh sb="6" eb="8">
      <t>コンポウ</t>
    </rPh>
    <rPh sb="8" eb="10">
      <t>シザイ</t>
    </rPh>
    <rPh sb="11" eb="13">
      <t>コキャク</t>
    </rPh>
    <rPh sb="15" eb="17">
      <t>ノウヒン</t>
    </rPh>
    <rPh sb="17" eb="18">
      <t>ジ</t>
    </rPh>
    <rPh sb="19" eb="21">
      <t>コンポウ</t>
    </rPh>
    <rPh sb="30" eb="32">
      <t>リュウツウ</t>
    </rPh>
    <rPh sb="32" eb="34">
      <t>ダンカイ</t>
    </rPh>
    <rPh sb="35" eb="37">
      <t>ユソウ</t>
    </rPh>
    <rPh sb="37" eb="39">
      <t>シザイ</t>
    </rPh>
    <rPh sb="40" eb="42">
      <t>ノウヒン</t>
    </rPh>
    <rPh sb="45" eb="47">
      <t>コキャク</t>
    </rPh>
    <rPh sb="48" eb="51">
      <t>インサツブツ</t>
    </rPh>
    <rPh sb="52" eb="53">
      <t>ヨ</t>
    </rPh>
    <rPh sb="54" eb="55">
      <t>テ</t>
    </rPh>
    <rPh sb="56" eb="58">
      <t>ハッソウ</t>
    </rPh>
    <rPh sb="67" eb="69">
      <t>シヨウ</t>
    </rPh>
    <rPh sb="69" eb="71">
      <t>ダンカイ</t>
    </rPh>
    <rPh sb="72" eb="74">
      <t>フウトウ</t>
    </rPh>
    <rPh sb="80" eb="81">
      <t>ナド</t>
    </rPh>
    <rPh sb="81" eb="82">
      <t>ヨ</t>
    </rPh>
    <rPh sb="83" eb="84">
      <t>テ</t>
    </rPh>
    <rPh sb="85" eb="87">
      <t>ヘンソウ</t>
    </rPh>
    <rPh sb="98" eb="100">
      <t>カイシュウ</t>
    </rPh>
    <rPh sb="113" eb="114">
      <t>ラン</t>
    </rPh>
    <rPh sb="120" eb="121">
      <t>エラ</t>
    </rPh>
    <rPh sb="124" eb="126">
      <t>セツメイ</t>
    </rPh>
    <rPh sb="127" eb="129">
      <t>ツイカ</t>
    </rPh>
    <phoneticPr fontId="10"/>
  </si>
  <si>
    <t xml:space="preserve">ページ数の入力については、同じ機械で何台（種類）か印刷するので
&lt; div&gt;面付け数（1台分）X　表裏（この場合２）X　台数分　＝ページ数
などの入力枠があればさらに良いと感じました。
</t>
    <phoneticPr fontId="10"/>
  </si>
  <si>
    <t>CO2の「見える化」</t>
    <rPh sb="5" eb="6">
      <t>ミ</t>
    </rPh>
    <rPh sb="8" eb="9">
      <t>カ</t>
    </rPh>
    <phoneticPr fontId="10"/>
  </si>
  <si>
    <t>カーボンフットプリント</t>
    <phoneticPr fontId="10"/>
  </si>
  <si>
    <t>CR-XXYYｰZZZZZ</t>
  </si>
  <si>
    <t xml:space="preserve">・｢個別製品情報入力シート｣の”サイト間輸送”で”なし”を選ぶと、｢(4)データ入力と算出結果｣の排出CO2量が”N/A"となってしまう。｢(5)データの根拠｣で、入力内容で数値が入るようになっているが”なし”のときの輸送距離の”ゼロ”が選べない。
</t>
    <phoneticPr fontId="10"/>
  </si>
  <si>
    <t xml:space="preserve">・｢(4)データ入力と算出結果｣、｢(5)データの根拠｣の中綴じ、無線綴じ生産・空調照明の活動量について、単位が”枚”となっているが、PCRでは”部”である。折生産・空調照明は”枚”のままで間違いない。
</t>
    <phoneticPr fontId="10"/>
  </si>
  <si>
    <t xml:space="preserve">版サイズは、「ｍｍ」が良いと感じました
</t>
    <phoneticPr fontId="10"/>
  </si>
  <si>
    <t>要検討内容</t>
    <rPh sb="0" eb="3">
      <t>ヨウケントウ</t>
    </rPh>
    <rPh sb="3" eb="5">
      <t>ナイヨウ</t>
    </rPh>
    <phoneticPr fontId="10"/>
  </si>
  <si>
    <t xml:space="preserve">廃棄・リサイクル段階でコート層廃棄が必ず入るのですが、これはオフセットでは必ずコート処理があるためなのでしょうか。
</t>
    <phoneticPr fontId="10"/>
  </si>
  <si>
    <t>対応済み
（封筒サイズ欄で「なし」を選ぶよう説明を追加）</t>
    <rPh sb="0" eb="2">
      <t>タイオウ</t>
    </rPh>
    <rPh sb="2" eb="3">
      <t>ズ</t>
    </rPh>
    <rPh sb="6" eb="8">
      <t>フウトウ</t>
    </rPh>
    <rPh sb="11" eb="12">
      <t>ラン</t>
    </rPh>
    <rPh sb="18" eb="19">
      <t>エラ</t>
    </rPh>
    <rPh sb="22" eb="24">
      <t>セツメイ</t>
    </rPh>
    <rPh sb="25" eb="27">
      <t>ツイカ</t>
    </rPh>
    <phoneticPr fontId="10"/>
  </si>
  <si>
    <t>修正済み</t>
    <rPh sb="0" eb="2">
      <t>シュウセイ</t>
    </rPh>
    <rPh sb="2" eb="3">
      <t>ズ</t>
    </rPh>
    <phoneticPr fontId="10"/>
  </si>
  <si>
    <t>修正済み</t>
    <rPh sb="0" eb="2">
      <t>シュウセイ</t>
    </rPh>
    <rPh sb="2" eb="3">
      <t>ズ</t>
    </rPh>
    <phoneticPr fontId="10"/>
  </si>
  <si>
    <t xml:space="preserve">入力シートの完成品の最終消費者までの輸送エリアがプルダウンになっていない
</t>
    <rPh sb="0" eb="2">
      <t>ニュウリョク</t>
    </rPh>
    <phoneticPr fontId="10"/>
  </si>
  <si>
    <t>印刷方式（選択してください</t>
    <rPh sb="0" eb="2">
      <t>インサツ</t>
    </rPh>
    <rPh sb="2" eb="4">
      <t>ホウシキ</t>
    </rPh>
    <rPh sb="5" eb="7">
      <t>センタク</t>
    </rPh>
    <phoneticPr fontId="67"/>
  </si>
  <si>
    <t>稼働日</t>
    <rPh sb="0" eb="3">
      <t>カドウビ</t>
    </rPh>
    <phoneticPr fontId="10"/>
  </si>
  <si>
    <t>1日あたり枚数</t>
    <rPh sb="1" eb="2">
      <t>ニチ</t>
    </rPh>
    <rPh sb="5" eb="7">
      <t>マイスウ</t>
    </rPh>
    <phoneticPr fontId="10"/>
  </si>
  <si>
    <t>1枚あたりプリンタ消費電力</t>
    <rPh sb="1" eb="2">
      <t>マイ</t>
    </rPh>
    <rPh sb="9" eb="11">
      <t>ショウヒ</t>
    </rPh>
    <rPh sb="11" eb="13">
      <t>デンリョク</t>
    </rPh>
    <phoneticPr fontId="10"/>
  </si>
  <si>
    <t>プリンタのTEC値</t>
    <rPh sb="8" eb="9">
      <t>アタイ</t>
    </rPh>
    <phoneticPr fontId="10"/>
  </si>
  <si>
    <t>周辺機器1枚当たり電力</t>
    <rPh sb="0" eb="2">
      <t>シュウヘン</t>
    </rPh>
    <rPh sb="2" eb="4">
      <t>キキ</t>
    </rPh>
    <rPh sb="5" eb="6">
      <t>マイ</t>
    </rPh>
    <rPh sb="6" eb="7">
      <t>ア</t>
    </rPh>
    <rPh sb="9" eb="11">
      <t>デンリョク</t>
    </rPh>
    <phoneticPr fontId="10"/>
  </si>
  <si>
    <t xml:space="preserve">流通段階、水なしとシナリオ違いにより試算で1/3に？
</t>
    <rPh sb="0" eb="2">
      <t>リュウツウ</t>
    </rPh>
    <rPh sb="2" eb="4">
      <t>ダンカイ</t>
    </rPh>
    <rPh sb="5" eb="6">
      <t>ミズ</t>
    </rPh>
    <rPh sb="13" eb="14">
      <t>チガ</t>
    </rPh>
    <rPh sb="18" eb="20">
      <t>シサン</t>
    </rPh>
    <phoneticPr fontId="10"/>
  </si>
  <si>
    <t xml:space="preserve">水なしPCRでは生産設備の定格電力の50％で計算している。
本ツールで試算したところ、生産段階の数値が4倍以上に？
</t>
    <rPh sb="0" eb="1">
      <t>ミズ</t>
    </rPh>
    <rPh sb="30" eb="31">
      <t>ホン</t>
    </rPh>
    <rPh sb="35" eb="37">
      <t>シサン</t>
    </rPh>
    <phoneticPr fontId="10"/>
  </si>
  <si>
    <t xml:space="preserve">廃棄リサイクル段階、水なしとシナリオ違いにより2割増？
</t>
    <rPh sb="0" eb="2">
      <t>ハイキ</t>
    </rPh>
    <rPh sb="7" eb="9">
      <t>ダンカイ</t>
    </rPh>
    <rPh sb="10" eb="11">
      <t>ミズ</t>
    </rPh>
    <rPh sb="18" eb="19">
      <t>チガ</t>
    </rPh>
    <rPh sb="24" eb="25">
      <t>ワリ</t>
    </rPh>
    <rPh sb="25" eb="26">
      <t>フ</t>
    </rPh>
    <phoneticPr fontId="10"/>
  </si>
  <si>
    <t xml:space="preserve">①用紙原単位が基本データベースの２種類しかない。
⇒利用可能データベース　３EIDにあるアート、コート、微塗工、非塗工などのデータがあったほうがよい。
</t>
    <phoneticPr fontId="10"/>
  </si>
  <si>
    <t>入力シート</t>
    <rPh sb="0" eb="2">
      <t>ニュウリョク</t>
    </rPh>
    <phoneticPr fontId="10"/>
  </si>
  <si>
    <t>算定結果</t>
    <rPh sb="0" eb="2">
      <t>サンテイ</t>
    </rPh>
    <rPh sb="2" eb="4">
      <t>ケッカ</t>
    </rPh>
    <phoneticPr fontId="10"/>
  </si>
  <si>
    <t>データ根拠</t>
    <rPh sb="3" eb="5">
      <t>コンキョ</t>
    </rPh>
    <phoneticPr fontId="10"/>
  </si>
  <si>
    <t>シート</t>
    <phoneticPr fontId="10"/>
  </si>
  <si>
    <t>算出結果</t>
    <rPh sb="0" eb="2">
      <t>サンシュツ</t>
    </rPh>
    <rPh sb="2" eb="4">
      <t>ケッカ</t>
    </rPh>
    <phoneticPr fontId="10"/>
  </si>
  <si>
    <t>算定方法</t>
    <rPh sb="0" eb="2">
      <t>サンテイ</t>
    </rPh>
    <rPh sb="2" eb="4">
      <t>ホウホウ</t>
    </rPh>
    <phoneticPr fontId="10"/>
  </si>
  <si>
    <t>数値表示案</t>
    <rPh sb="0" eb="2">
      <t>スウチ</t>
    </rPh>
    <rPh sb="2" eb="4">
      <t>ヒョウジ</t>
    </rPh>
    <rPh sb="4" eb="5">
      <t>アン</t>
    </rPh>
    <phoneticPr fontId="10"/>
  </si>
  <si>
    <t>登録情報</t>
    <rPh sb="0" eb="2">
      <t>トウロク</t>
    </rPh>
    <rPh sb="2" eb="4">
      <t>ジョウホウ</t>
    </rPh>
    <phoneticPr fontId="10"/>
  </si>
  <si>
    <t xml:space="preserve">被印刷体輸送、インキ輸送、糊輸送、針金輸送は、製品輸送であるが、これらが全て表示されると煩わしいので、製品の重量をだして１行にした方がよい。「輸送」⇒「廃棄輸送」
</t>
    <phoneticPr fontId="10"/>
  </si>
  <si>
    <t>インキ廃棄量の活動量が１／２が乗じられているが、半分にする必要はないのでは？</t>
    <phoneticPr fontId="10"/>
  </si>
  <si>
    <t>フロー図</t>
    <rPh sb="3" eb="4">
      <t>ズ</t>
    </rPh>
    <phoneticPr fontId="10"/>
  </si>
  <si>
    <t>★</t>
    <phoneticPr fontId="10"/>
  </si>
  <si>
    <t>★</t>
    <phoneticPr fontId="10"/>
  </si>
  <si>
    <t xml:space="preserve">製本予備率で表現されるので、これを入力すると自動計算されて欲しい。（印刷予備は一般的に数量が決められていて、１台（表裏ジョブ）あたり１０００枚とかが入力されている。製本予備枚数をひいたものがPCR上の【印刷予備】となる。
</t>
    <phoneticPr fontId="10"/>
  </si>
  <si>
    <t xml:space="preserve">輸送距離は、シナリオのみでなく一次データが入力できた方がいい。
</t>
    <phoneticPr fontId="10"/>
  </si>
  <si>
    <t xml:space="preserve">数値表示案に計算結果が反映されるようになりませんか？
</t>
    <phoneticPr fontId="10"/>
  </si>
  <si>
    <t>余分な行を削除しなければならない。但し、使用段階だけはできる。</t>
    <phoneticPr fontId="10"/>
  </si>
  <si>
    <t xml:space="preserve">・｢(4)データ入力と算出結果｣の”（１）原材料調達段階”の”梱包資材製造”と”
（３）流通段階”の”輸送資材（紙製封筒）製造および輸送”は包装物の製造が
二重になっているということはないのでしょうか。
</t>
    <phoneticPr fontId="10"/>
  </si>
  <si>
    <t xml:space="preserve">輸送資材の封筒の使用なしにしてもデータの根拠で封筒重量がゼロにならないようです(E72、E81、E101)。
</t>
    <phoneticPr fontId="10"/>
  </si>
  <si>
    <t>実測</t>
    <rPh sb="0" eb="2">
      <t>ジッソク</t>
    </rPh>
    <phoneticPr fontId="10"/>
  </si>
  <si>
    <t>基本</t>
    <rPh sb="0" eb="2">
      <t>キホン</t>
    </rPh>
    <phoneticPr fontId="10"/>
  </si>
  <si>
    <t>㎞</t>
    <phoneticPr fontId="10"/>
  </si>
  <si>
    <t>㎞</t>
    <phoneticPr fontId="10"/>
  </si>
  <si>
    <t>対応済み</t>
    <rPh sb="0" eb="2">
      <t>タイオウ</t>
    </rPh>
    <rPh sb="2" eb="3">
      <t>ズ</t>
    </rPh>
    <phoneticPr fontId="10"/>
  </si>
  <si>
    <t>対応済み</t>
    <rPh sb="0" eb="2">
      <t>タイオウ</t>
    </rPh>
    <rPh sb="2" eb="3">
      <t>ズ</t>
    </rPh>
    <phoneticPr fontId="10"/>
  </si>
  <si>
    <t xml:space="preserve">対応済み
（0になっている欄はオートフィルタで非表示にできるように設定）
</t>
    <rPh sb="0" eb="2">
      <t>タイオウ</t>
    </rPh>
    <rPh sb="2" eb="3">
      <t>ズ</t>
    </rPh>
    <rPh sb="13" eb="14">
      <t>ラン</t>
    </rPh>
    <rPh sb="23" eb="26">
      <t>ヒヒョウジ</t>
    </rPh>
    <rPh sb="33" eb="35">
      <t>セッテイ</t>
    </rPh>
    <phoneticPr fontId="10"/>
  </si>
  <si>
    <t xml:space="preserve">PODの生産電力の計算方法
・｢個別製品情報入力シート｣の印刷機定格電力について、PODでは印刷機本体はTEC値を使用し、コントローラやフィニッシャーの周辺機は定格電力を使用している。
1枚当たりの消費電力の計算法が異なるため、”印刷機のTEC値”と”周辺機の定格電力”とそれぞれ入れるようにしたい。
</t>
    <rPh sb="4" eb="6">
      <t>セイサン</t>
    </rPh>
    <rPh sb="6" eb="8">
      <t>デンリョク</t>
    </rPh>
    <rPh sb="9" eb="11">
      <t>ケイサン</t>
    </rPh>
    <rPh sb="11" eb="13">
      <t>ホウホウ</t>
    </rPh>
    <phoneticPr fontId="10"/>
  </si>
  <si>
    <t>PCRフロー図を添付</t>
    <rPh sb="6" eb="7">
      <t>ズ</t>
    </rPh>
    <rPh sb="8" eb="10">
      <t>テンプ</t>
    </rPh>
    <phoneticPr fontId="10"/>
  </si>
  <si>
    <t>使用CFP-PCR</t>
    <rPh sb="0" eb="2">
      <t>シヨウ</t>
    </rPh>
    <phoneticPr fontId="10"/>
  </si>
  <si>
    <t xml:space="preserve">印刷のジョブごとの分けて作ると活動量の行数（プロセス数）が増えるので、見た目が悪いので、まとめられないか？
</t>
    <phoneticPr fontId="10"/>
  </si>
  <si>
    <t>根拠シート上で合計してから算定シートに転記するようにすれば対応は可能。どちらがよいか？（検証時見やすい方）</t>
    <rPh sb="0" eb="2">
      <t>コンキョ</t>
    </rPh>
    <rPh sb="5" eb="6">
      <t>ジョウ</t>
    </rPh>
    <rPh sb="7" eb="9">
      <t>ゴウケイ</t>
    </rPh>
    <rPh sb="13" eb="15">
      <t>サンテイ</t>
    </rPh>
    <rPh sb="19" eb="21">
      <t>テンキ</t>
    </rPh>
    <rPh sb="29" eb="31">
      <t>タイオウ</t>
    </rPh>
    <rPh sb="32" eb="34">
      <t>カノウ</t>
    </rPh>
    <rPh sb="44" eb="46">
      <t>ケンショウ</t>
    </rPh>
    <rPh sb="46" eb="47">
      <t>ジ</t>
    </rPh>
    <rPh sb="47" eb="48">
      <t>ミ</t>
    </rPh>
    <rPh sb="51" eb="52">
      <t>ホウ</t>
    </rPh>
    <phoneticPr fontId="10"/>
  </si>
  <si>
    <t xml:space="preserve">データの根拠が、文章になっていないために一部の関係者しか分からず、どの検証員でも分かるというのには不親切になるのでは。
</t>
    <phoneticPr fontId="10"/>
  </si>
  <si>
    <t>簡易検証方法について要検討。</t>
    <rPh sb="0" eb="2">
      <t>カンイ</t>
    </rPh>
    <rPh sb="2" eb="4">
      <t>ケンショウ</t>
    </rPh>
    <rPh sb="4" eb="6">
      <t>ホウホウ</t>
    </rPh>
    <rPh sb="10" eb="13">
      <t>ヨウケントウ</t>
    </rPh>
    <phoneticPr fontId="10"/>
  </si>
  <si>
    <t>(INT((($F$通し枚数^2)*0.5)/32))*32</t>
    <rPh sb="10" eb="11">
      <t>トオ</t>
    </rPh>
    <rPh sb="12" eb="14">
      <t>マイスウ</t>
    </rPh>
    <phoneticPr fontId="10"/>
  </si>
  <si>
    <t xml:space="preserve">輪転機の生産電力のための入力項目が多い。
</t>
    <rPh sb="0" eb="3">
      <t>リンテンキ</t>
    </rPh>
    <rPh sb="4" eb="6">
      <t>セイサン</t>
    </rPh>
    <rPh sb="6" eb="8">
      <t>デンリョク</t>
    </rPh>
    <rPh sb="12" eb="14">
      <t>ニュウリョク</t>
    </rPh>
    <rPh sb="14" eb="16">
      <t>コウモク</t>
    </rPh>
    <rPh sb="17" eb="18">
      <t>オオ</t>
    </rPh>
    <phoneticPr fontId="10"/>
  </si>
  <si>
    <t xml:space="preserve">アンケート等の返送の輸送距離、実測を選ぶと流通段階の実測値と同じ値が入るように設定しているが、これでよいか？
</t>
    <rPh sb="5" eb="6">
      <t>ナド</t>
    </rPh>
    <rPh sb="7" eb="9">
      <t>ヘンソウ</t>
    </rPh>
    <rPh sb="10" eb="12">
      <t>ユソウ</t>
    </rPh>
    <rPh sb="12" eb="14">
      <t>キョリ</t>
    </rPh>
    <rPh sb="15" eb="17">
      <t>ジッソク</t>
    </rPh>
    <rPh sb="18" eb="19">
      <t>エラ</t>
    </rPh>
    <rPh sb="21" eb="23">
      <t>リュウツウ</t>
    </rPh>
    <rPh sb="23" eb="25">
      <t>ダンカイ</t>
    </rPh>
    <rPh sb="26" eb="29">
      <t>ジッソクチ</t>
    </rPh>
    <rPh sb="30" eb="31">
      <t>オナ</t>
    </rPh>
    <rPh sb="32" eb="33">
      <t>アタイ</t>
    </rPh>
    <rPh sb="34" eb="35">
      <t>ハイ</t>
    </rPh>
    <rPh sb="39" eb="41">
      <t>セッテイ</t>
    </rPh>
    <phoneticPr fontId="10"/>
  </si>
  <si>
    <t>本紙部数+予備部数</t>
    <rPh sb="2" eb="4">
      <t>ブスウ</t>
    </rPh>
    <rPh sb="7" eb="9">
      <t>ブスウ</t>
    </rPh>
    <phoneticPr fontId="10"/>
  </si>
  <si>
    <t>データの根拠</t>
    <rPh sb="4" eb="6">
      <t>コンキョ</t>
    </rPh>
    <phoneticPr fontId="10"/>
  </si>
  <si>
    <t xml:space="preserve">エビデンス資料名をどう記載する？
</t>
    <rPh sb="5" eb="7">
      <t>シリョウ</t>
    </rPh>
    <rPh sb="7" eb="8">
      <t>メイ</t>
    </rPh>
    <rPh sb="11" eb="13">
      <t>キサイ</t>
    </rPh>
    <phoneticPr fontId="10"/>
  </si>
  <si>
    <t xml:space="preserve">裏表でそれぞれに色数を設定しているので/2としている。
（この考え方であっている？？）
</t>
    <rPh sb="0" eb="2">
      <t>ウラオモテ</t>
    </rPh>
    <rPh sb="8" eb="9">
      <t>イロ</t>
    </rPh>
    <rPh sb="9" eb="10">
      <t>カズ</t>
    </rPh>
    <rPh sb="11" eb="13">
      <t>セッテイ</t>
    </rPh>
    <rPh sb="31" eb="32">
      <t>カンガ</t>
    </rPh>
    <rPh sb="33" eb="34">
      <t>カタ</t>
    </rPh>
    <phoneticPr fontId="10"/>
  </si>
  <si>
    <t>紙のサイズ　PODの場合は「A3ノビ」を使うが、選択肢にない。</t>
    <rPh sb="0" eb="1">
      <t>カミ</t>
    </rPh>
    <rPh sb="10" eb="12">
      <t>バアイ</t>
    </rPh>
    <rPh sb="20" eb="21">
      <t>ツカ</t>
    </rPh>
    <rPh sb="24" eb="27">
      <t>センタクシ</t>
    </rPh>
    <phoneticPr fontId="10"/>
  </si>
  <si>
    <t xml:space="preserve">PODの場合のトナーの使用量・輸送量・廃棄リサイクル量の算定方法がない。
</t>
    <rPh sb="4" eb="6">
      <t>バアイ</t>
    </rPh>
    <rPh sb="11" eb="13">
      <t>シヨウ</t>
    </rPh>
    <rPh sb="13" eb="14">
      <t>リョウ</t>
    </rPh>
    <rPh sb="15" eb="18">
      <t>ユソウリョウ</t>
    </rPh>
    <rPh sb="19" eb="21">
      <t>ハイキ</t>
    </rPh>
    <rPh sb="26" eb="27">
      <t>リョウ</t>
    </rPh>
    <rPh sb="28" eb="30">
      <t>サンテイ</t>
    </rPh>
    <rPh sb="30" eb="32">
      <t>ホウホウ</t>
    </rPh>
    <phoneticPr fontId="10"/>
  </si>
  <si>
    <t xml:space="preserve">1.｢(4)データ入力と算出結果｣、｢(5)データの根拠｣の中綴じ、無線綴じ生産・空調照明の活動量について、単位が　”枚”となっているが、PCRでは”部”となっており、部のまちがいでは。折生産・空調照明は”枚”で問題ないのですが。
</t>
    <phoneticPr fontId="10"/>
  </si>
  <si>
    <t xml:space="preserve">
.”（３）流通段階”の”輸送資材（紙製封筒）製造および輸送”の封筒は、流通段階・使用維持段階・廃棄リサイクル段階で出てくるため、最終消費者に届ける封筒と、回収返送の封筒を兼ねていると言う考えなのでしょうか。回収がない印刷物の場合、どの項目をゼロにすればよいか悩んでしまいました。
</t>
    <phoneticPr fontId="10"/>
  </si>
  <si>
    <t xml:space="preserve">
・｢個別製品情報入力シート｣の”綴じ方式（選択してください）”で”中綴じ”を選んでも、｢(4)データ入力と算出結果｣の”糊”の重量がゼロにならない。また、”無線綴じ”を選んでも”針金”の重量がゼロにならない。”なし”を選んでも同じ。
</t>
    <phoneticPr fontId="10"/>
  </si>
  <si>
    <t xml:space="preserve">
使用段階のGHG値が0の場合、登録情報の内訳欄が「#NUM」になってしまう
</t>
    <rPh sb="1" eb="3">
      <t>シヨウ</t>
    </rPh>
    <rPh sb="3" eb="5">
      <t>ダンカイ</t>
    </rPh>
    <rPh sb="9" eb="10">
      <t>アタイ</t>
    </rPh>
    <rPh sb="13" eb="15">
      <t>バアイ</t>
    </rPh>
    <rPh sb="16" eb="18">
      <t>トウロク</t>
    </rPh>
    <rPh sb="18" eb="20">
      <t>ジョウホウ</t>
    </rPh>
    <rPh sb="21" eb="23">
      <t>ウチワケ</t>
    </rPh>
    <rPh sb="23" eb="24">
      <t>ラン</t>
    </rPh>
    <phoneticPr fontId="10"/>
  </si>
  <si>
    <t xml:space="preserve">
印刷のプロセスを印刷ジョブごとに分けて作るのか？自動では生成しない？
</t>
    <phoneticPr fontId="10"/>
  </si>
  <si>
    <r>
      <t>O列のCO2の演算データが</t>
    </r>
    <r>
      <rPr>
        <sz val="11"/>
        <rFont val="ＭＳ Ｐゴシック"/>
        <family val="3"/>
        <charset val="128"/>
        <scheme val="minor"/>
      </rPr>
      <t xml:space="preserve">活動量を０にしても０にならない部分がある
</t>
    </r>
    <rPh sb="1" eb="2">
      <t>レツ</t>
    </rPh>
    <rPh sb="7" eb="9">
      <t>エンザン</t>
    </rPh>
    <rPh sb="13" eb="14">
      <t>カツ</t>
    </rPh>
    <rPh sb="14" eb="15">
      <t>ドウ</t>
    </rPh>
    <rPh sb="15" eb="16">
      <t>リョウ</t>
    </rPh>
    <rPh sb="28" eb="30">
      <t>ブブン</t>
    </rPh>
    <phoneticPr fontId="86"/>
  </si>
  <si>
    <t>被印刷物①輸送重量</t>
    <rPh sb="0" eb="1">
      <t>ヒ</t>
    </rPh>
    <rPh sb="1" eb="4">
      <t>インサツブツ</t>
    </rPh>
    <rPh sb="5" eb="7">
      <t>ユソウ</t>
    </rPh>
    <rPh sb="7" eb="9">
      <t>ジュウリョウ</t>
    </rPh>
    <phoneticPr fontId="10"/>
  </si>
  <si>
    <t>被印刷物②輸送重量</t>
    <rPh sb="0" eb="1">
      <t>ヒ</t>
    </rPh>
    <rPh sb="1" eb="4">
      <t>インサツブツ</t>
    </rPh>
    <rPh sb="5" eb="7">
      <t>ユソウ</t>
    </rPh>
    <rPh sb="7" eb="9">
      <t>ジュウリョウ</t>
    </rPh>
    <phoneticPr fontId="10"/>
  </si>
  <si>
    <t>被印刷物③輸送重量</t>
    <rPh sb="0" eb="1">
      <t>ヒ</t>
    </rPh>
    <rPh sb="1" eb="4">
      <t>インサツブツ</t>
    </rPh>
    <rPh sb="5" eb="7">
      <t>ユソウ</t>
    </rPh>
    <rPh sb="7" eb="9">
      <t>ジュウリョウ</t>
    </rPh>
    <phoneticPr fontId="10"/>
  </si>
  <si>
    <t>被印刷物④輸送重量</t>
    <rPh sb="0" eb="1">
      <t>ヒ</t>
    </rPh>
    <rPh sb="1" eb="4">
      <t>インサツブツ</t>
    </rPh>
    <rPh sb="5" eb="7">
      <t>ユソウ</t>
    </rPh>
    <rPh sb="7" eb="9">
      <t>ジュウリョウ</t>
    </rPh>
    <phoneticPr fontId="10"/>
  </si>
  <si>
    <t>被印刷物⑤輸送重量</t>
    <rPh sb="0" eb="1">
      <t>ヒ</t>
    </rPh>
    <rPh sb="1" eb="4">
      <t>インサツブツ</t>
    </rPh>
    <rPh sb="5" eb="7">
      <t>ユソウ</t>
    </rPh>
    <rPh sb="7" eb="9">
      <t>ジュウリョウ</t>
    </rPh>
    <phoneticPr fontId="10"/>
  </si>
  <si>
    <t>本紙枚数+製本予備枚数ｋｇ</t>
    <rPh sb="0" eb="2">
      <t>ホンシ</t>
    </rPh>
    <rPh sb="2" eb="4">
      <t>マイスウ</t>
    </rPh>
    <rPh sb="5" eb="7">
      <t>セイホン</t>
    </rPh>
    <rPh sb="7" eb="9">
      <t>ヨビ</t>
    </rPh>
    <rPh sb="9" eb="11">
      <t>マイスウ</t>
    </rPh>
    <phoneticPr fontId="10"/>
  </si>
  <si>
    <t>tkm</t>
    <phoneticPr fontId="10"/>
  </si>
  <si>
    <t>本紙+製本予備のみとし、印刷予備は計上しない。</t>
    <rPh sb="12" eb="14">
      <t>インサツ</t>
    </rPh>
    <rPh sb="14" eb="16">
      <t>ヨビ</t>
    </rPh>
    <rPh sb="17" eb="19">
      <t>ケイジョウ</t>
    </rPh>
    <phoneticPr fontId="10"/>
  </si>
  <si>
    <t xml:space="preserve">現状では情報用紙と非塗工用紙の2択とする。
IDEA原単位を反映するか、年明け以降に検討する。
</t>
    <rPh sb="0" eb="2">
      <t>ゲンジョウ</t>
    </rPh>
    <rPh sb="4" eb="6">
      <t>ジョウホウ</t>
    </rPh>
    <rPh sb="6" eb="8">
      <t>ヨウシ</t>
    </rPh>
    <rPh sb="9" eb="10">
      <t>ヒ</t>
    </rPh>
    <rPh sb="10" eb="11">
      <t>ヌ</t>
    </rPh>
    <rPh sb="11" eb="12">
      <t>コウ</t>
    </rPh>
    <rPh sb="12" eb="14">
      <t>ヨウシ</t>
    </rPh>
    <rPh sb="16" eb="17">
      <t>タク</t>
    </rPh>
    <rPh sb="26" eb="29">
      <t>ゲンタンイ</t>
    </rPh>
    <rPh sb="30" eb="32">
      <t>ハンエイ</t>
    </rPh>
    <rPh sb="36" eb="38">
      <t>トシア</t>
    </rPh>
    <rPh sb="39" eb="41">
      <t>イコウ</t>
    </rPh>
    <rPh sb="42" eb="44">
      <t>ケントウ</t>
    </rPh>
    <phoneticPr fontId="10"/>
  </si>
  <si>
    <t>現状ツールでは紙の原単位で「情報用紙」を選んだ場合、必ずコート層廃棄が計上されるようになっている。これでよいか？PCR要確認。⇒OK</t>
    <rPh sb="0" eb="2">
      <t>ゲンジョウ</t>
    </rPh>
    <rPh sb="7" eb="8">
      <t>カミ</t>
    </rPh>
    <rPh sb="9" eb="12">
      <t>ゲンタンイ</t>
    </rPh>
    <rPh sb="14" eb="16">
      <t>ジョウホウ</t>
    </rPh>
    <rPh sb="16" eb="18">
      <t>ヨウシ</t>
    </rPh>
    <rPh sb="20" eb="21">
      <t>エラ</t>
    </rPh>
    <rPh sb="23" eb="25">
      <t>バアイ</t>
    </rPh>
    <rPh sb="26" eb="27">
      <t>カナラ</t>
    </rPh>
    <rPh sb="31" eb="32">
      <t>ソウ</t>
    </rPh>
    <rPh sb="32" eb="34">
      <t>ハイキ</t>
    </rPh>
    <rPh sb="35" eb="37">
      <t>ケイジョウ</t>
    </rPh>
    <rPh sb="59" eb="60">
      <t>ヨウ</t>
    </rPh>
    <rPh sb="60" eb="62">
      <t>カクニン</t>
    </rPh>
    <phoneticPr fontId="10"/>
  </si>
  <si>
    <t>印刷予備・製本予備は各社の努力の部分なので、任意で記入する現在の方式のままとする。</t>
    <rPh sb="0" eb="2">
      <t>インサツ</t>
    </rPh>
    <rPh sb="2" eb="4">
      <t>ヨビ</t>
    </rPh>
    <rPh sb="5" eb="7">
      <t>セイホン</t>
    </rPh>
    <rPh sb="7" eb="9">
      <t>ヨビ</t>
    </rPh>
    <rPh sb="10" eb="12">
      <t>カクシャ</t>
    </rPh>
    <rPh sb="13" eb="15">
      <t>ドリョク</t>
    </rPh>
    <rPh sb="16" eb="18">
      <t>ブブン</t>
    </rPh>
    <rPh sb="22" eb="24">
      <t>ニンイ</t>
    </rPh>
    <rPh sb="25" eb="27">
      <t>キニュウ</t>
    </rPh>
    <rPh sb="29" eb="31">
      <t>ゲンザイ</t>
    </rPh>
    <rPh sb="32" eb="34">
      <t>ホウシキ</t>
    </rPh>
    <phoneticPr fontId="10"/>
  </si>
  <si>
    <t xml:space="preserve">計算方法要確認。現状ツールでは印刷インキと同じ扱いにしている。
（場合によってツールを分ける必要あり？）
⇒原単位を確認。
</t>
    <rPh sb="0" eb="2">
      <t>ケイサン</t>
    </rPh>
    <rPh sb="2" eb="4">
      <t>ホウホウ</t>
    </rPh>
    <rPh sb="4" eb="5">
      <t>ヨウ</t>
    </rPh>
    <rPh sb="5" eb="7">
      <t>カクニン</t>
    </rPh>
    <rPh sb="8" eb="10">
      <t>ゲンジョウ</t>
    </rPh>
    <rPh sb="15" eb="17">
      <t>インサツ</t>
    </rPh>
    <rPh sb="21" eb="22">
      <t>オナ</t>
    </rPh>
    <rPh sb="23" eb="24">
      <t>アツカ</t>
    </rPh>
    <rPh sb="33" eb="35">
      <t>バアイ</t>
    </rPh>
    <rPh sb="43" eb="44">
      <t>ワ</t>
    </rPh>
    <rPh sb="46" eb="48">
      <t>ヒツヨウ</t>
    </rPh>
    <rPh sb="54" eb="57">
      <t>ゲンタンイ</t>
    </rPh>
    <rPh sb="58" eb="60">
      <t>カクニン</t>
    </rPh>
    <phoneticPr fontId="10"/>
  </si>
  <si>
    <t xml:space="preserve">印刷機別のページ数は実際には使わないので削除する。
</t>
    <rPh sb="0" eb="2">
      <t>インサツ</t>
    </rPh>
    <rPh sb="2" eb="3">
      <t>キ</t>
    </rPh>
    <rPh sb="3" eb="4">
      <t>ベツ</t>
    </rPh>
    <rPh sb="8" eb="9">
      <t>スウ</t>
    </rPh>
    <rPh sb="10" eb="12">
      <t>ジッサイ</t>
    </rPh>
    <rPh sb="14" eb="15">
      <t>ツカ</t>
    </rPh>
    <rPh sb="20" eb="22">
      <t>サクジョ</t>
    </rPh>
    <phoneticPr fontId="10"/>
  </si>
  <si>
    <t>1016/10/17</t>
    <phoneticPr fontId="10"/>
  </si>
  <si>
    <t xml:space="preserve">おそらくほとんど使わない。やりとりの距離は同じと思われるので現状のままでOK
</t>
    <rPh sb="8" eb="9">
      <t>ツカ</t>
    </rPh>
    <rPh sb="18" eb="20">
      <t>キョリ</t>
    </rPh>
    <rPh sb="21" eb="22">
      <t>オナ</t>
    </rPh>
    <rPh sb="24" eb="25">
      <t>オモ</t>
    </rPh>
    <rPh sb="30" eb="32">
      <t>ゲンジョウ</t>
    </rPh>
    <phoneticPr fontId="10"/>
  </si>
  <si>
    <t>検証員と確認</t>
    <rPh sb="0" eb="2">
      <t>ケンショウ</t>
    </rPh>
    <rPh sb="2" eb="3">
      <t>イン</t>
    </rPh>
    <rPh sb="4" eb="6">
      <t>カクニン</t>
    </rPh>
    <phoneticPr fontId="10"/>
  </si>
  <si>
    <t xml:space="preserve">PCRの算定方法を要確認。
水なし：生産電力＝定格×稼働時間×負荷50％
　照明電力＝定格×稼働時間×100％
　空調電力＝定格×稼働時間×45％×面積÷全体面積
オフセット：生産電力＝準備負荷16％、印刷負荷77％、他計算式
　空調・照明＝原単位あり
オフセットに合わせる。
</t>
    <rPh sb="4" eb="6">
      <t>サンテイ</t>
    </rPh>
    <rPh sb="6" eb="8">
      <t>ホウホウ</t>
    </rPh>
    <rPh sb="9" eb="10">
      <t>ヨウ</t>
    </rPh>
    <rPh sb="10" eb="12">
      <t>カクニン</t>
    </rPh>
    <rPh sb="135" eb="136">
      <t>ア</t>
    </rPh>
    <phoneticPr fontId="10"/>
  </si>
  <si>
    <t xml:space="preserve">PCRの算定方法を要確認。
水なし：物流事業者なら10トン50％、その他事業者なら2トン50％
　　距離は50／100／500／1000㎞より選択
オフセット：4トン50％
　　距離は50／100／500／1000㎞より選択
⇒4ｔ車50％とし、距離は市内・県内・地域内・全国・実測から選ぶようにする。（距離が同じであれば、そんなに大きな違いにはならないはず。）
</t>
    <rPh sb="4" eb="6">
      <t>サンテイ</t>
    </rPh>
    <rPh sb="6" eb="8">
      <t>ホウホウ</t>
    </rPh>
    <rPh sb="9" eb="10">
      <t>ヨウ</t>
    </rPh>
    <rPh sb="10" eb="12">
      <t>カクニン</t>
    </rPh>
    <rPh sb="14" eb="15">
      <t>ミズ</t>
    </rPh>
    <rPh sb="18" eb="20">
      <t>ブツリュウ</t>
    </rPh>
    <rPh sb="20" eb="22">
      <t>ジギョウ</t>
    </rPh>
    <rPh sb="22" eb="23">
      <t>シャ</t>
    </rPh>
    <rPh sb="35" eb="36">
      <t>タ</t>
    </rPh>
    <rPh sb="36" eb="38">
      <t>ジギョウ</t>
    </rPh>
    <rPh sb="38" eb="39">
      <t>シャ</t>
    </rPh>
    <rPh sb="50" eb="52">
      <t>キョリ</t>
    </rPh>
    <rPh sb="71" eb="73">
      <t>センタク</t>
    </rPh>
    <rPh sb="118" eb="119">
      <t>シャ</t>
    </rPh>
    <rPh sb="125" eb="127">
      <t>キョリ</t>
    </rPh>
    <rPh sb="128" eb="130">
      <t>シナイ</t>
    </rPh>
    <rPh sb="131" eb="133">
      <t>ケンナイ</t>
    </rPh>
    <rPh sb="134" eb="136">
      <t>チイキ</t>
    </rPh>
    <rPh sb="136" eb="137">
      <t>ナイ</t>
    </rPh>
    <rPh sb="138" eb="140">
      <t>ゼンコク</t>
    </rPh>
    <rPh sb="141" eb="143">
      <t>ジッソク</t>
    </rPh>
    <rPh sb="145" eb="146">
      <t>エラ</t>
    </rPh>
    <rPh sb="154" eb="156">
      <t>キョリ</t>
    </rPh>
    <rPh sb="157" eb="158">
      <t>オナ</t>
    </rPh>
    <rPh sb="168" eb="169">
      <t>オオ</t>
    </rPh>
    <rPh sb="171" eb="172">
      <t>チガ</t>
    </rPh>
    <phoneticPr fontId="10"/>
  </si>
  <si>
    <t xml:space="preserve">PCRの算定方法を要確認。
水なし：紙は焼却22％、リサイクル78％、廃プラは焼却100％、金属は埋立100％、コート層はコート紙の場合に紙種別に15～40g/㎡とする。
オフセット：インキ・糊針・糊・コート層について原単位あり。
　　コート層は情報用紙の重さにより0.0832㎏-CO2/㎏
⇒オフセットに従う。
</t>
    <rPh sb="4" eb="6">
      <t>サンテイ</t>
    </rPh>
    <rPh sb="6" eb="8">
      <t>ホウホウ</t>
    </rPh>
    <rPh sb="9" eb="10">
      <t>ヨウ</t>
    </rPh>
    <rPh sb="10" eb="12">
      <t>カクニン</t>
    </rPh>
    <rPh sb="14" eb="15">
      <t>ミズ</t>
    </rPh>
    <rPh sb="18" eb="19">
      <t>カミ</t>
    </rPh>
    <rPh sb="20" eb="22">
      <t>ショウキャク</t>
    </rPh>
    <rPh sb="35" eb="36">
      <t>ハイ</t>
    </rPh>
    <rPh sb="39" eb="41">
      <t>ショウキャク</t>
    </rPh>
    <rPh sb="46" eb="48">
      <t>キンゾク</t>
    </rPh>
    <rPh sb="49" eb="51">
      <t>ウメタテ</t>
    </rPh>
    <rPh sb="59" eb="60">
      <t>ソウ</t>
    </rPh>
    <rPh sb="64" eb="65">
      <t>シ</t>
    </rPh>
    <rPh sb="66" eb="68">
      <t>バアイ</t>
    </rPh>
    <rPh sb="69" eb="70">
      <t>カミ</t>
    </rPh>
    <rPh sb="70" eb="72">
      <t>シュベツ</t>
    </rPh>
    <rPh sb="97" eb="98">
      <t>ノリ</t>
    </rPh>
    <rPh sb="98" eb="99">
      <t>ハリ</t>
    </rPh>
    <rPh sb="100" eb="101">
      <t>ノリ</t>
    </rPh>
    <rPh sb="105" eb="106">
      <t>ソウ</t>
    </rPh>
    <rPh sb="110" eb="113">
      <t>ゲンタンイ</t>
    </rPh>
    <rPh sb="122" eb="123">
      <t>ソウ</t>
    </rPh>
    <rPh sb="124" eb="126">
      <t>ジョウホウ</t>
    </rPh>
    <rPh sb="126" eb="128">
      <t>ヨウシ</t>
    </rPh>
    <rPh sb="129" eb="130">
      <t>オモ</t>
    </rPh>
    <rPh sb="156" eb="157">
      <t>シタガ</t>
    </rPh>
    <phoneticPr fontId="10"/>
  </si>
  <si>
    <t xml:space="preserve">受注カード・生産カード・見積書・機械仕様書・作業指示書・生産情報・営業情報・その他　などのプルダウンを作って選べるようにする
</t>
    <rPh sb="0" eb="2">
      <t>ジュチュウ</t>
    </rPh>
    <rPh sb="6" eb="8">
      <t>セイサン</t>
    </rPh>
    <rPh sb="12" eb="15">
      <t>ミツモリショ</t>
    </rPh>
    <rPh sb="16" eb="18">
      <t>キカイ</t>
    </rPh>
    <rPh sb="18" eb="21">
      <t>シヨウショ</t>
    </rPh>
    <rPh sb="22" eb="24">
      <t>サギョウ</t>
    </rPh>
    <rPh sb="24" eb="27">
      <t>シジショ</t>
    </rPh>
    <rPh sb="28" eb="30">
      <t>セイサン</t>
    </rPh>
    <rPh sb="30" eb="32">
      <t>ジョウホウ</t>
    </rPh>
    <rPh sb="33" eb="35">
      <t>エイギョウ</t>
    </rPh>
    <rPh sb="35" eb="37">
      <t>ジョウホウ</t>
    </rPh>
    <rPh sb="40" eb="41">
      <t>タ</t>
    </rPh>
    <rPh sb="51" eb="52">
      <t>ツク</t>
    </rPh>
    <rPh sb="54" eb="55">
      <t>エラ</t>
    </rPh>
    <phoneticPr fontId="10"/>
  </si>
  <si>
    <t>OPニスが計算できない</t>
    <rPh sb="5" eb="7">
      <t>ケイサン</t>
    </rPh>
    <phoneticPr fontId="10"/>
  </si>
  <si>
    <t>サイト間輸送距離は50-100㎞程度で決めてしまってよいのではないか</t>
    <rPh sb="3" eb="4">
      <t>アイダ</t>
    </rPh>
    <rPh sb="4" eb="6">
      <t>ユソウ</t>
    </rPh>
    <rPh sb="6" eb="8">
      <t>キョリ</t>
    </rPh>
    <rPh sb="16" eb="18">
      <t>テイド</t>
    </rPh>
    <rPh sb="19" eb="20">
      <t>キ</t>
    </rPh>
    <phoneticPr fontId="10"/>
  </si>
  <si>
    <t>PCR改定時
検討</t>
    <rPh sb="3" eb="5">
      <t>カイテイ</t>
    </rPh>
    <rPh sb="5" eb="6">
      <t>ジ</t>
    </rPh>
    <rPh sb="7" eb="9">
      <t>ケントウ</t>
    </rPh>
    <phoneticPr fontId="10"/>
  </si>
  <si>
    <t>IDEA原単位
導入時検討</t>
    <rPh sb="4" eb="7">
      <t>ゲンタンイ</t>
    </rPh>
    <rPh sb="8" eb="10">
      <t>ドウニュウ</t>
    </rPh>
    <rPh sb="10" eb="11">
      <t>ジ</t>
    </rPh>
    <rPh sb="11" eb="13">
      <t>ケントウ</t>
    </rPh>
    <phoneticPr fontId="10"/>
  </si>
  <si>
    <t>暫定入力済み。
計算式要確認。PCRに算定式を入れるか。
PODを対象に入れるタイミングについて要検討。</t>
    <rPh sb="0" eb="2">
      <t>ザンテイ</t>
    </rPh>
    <rPh sb="2" eb="4">
      <t>ニュウリョク</t>
    </rPh>
    <rPh sb="4" eb="5">
      <t>ズ</t>
    </rPh>
    <rPh sb="8" eb="10">
      <t>ケイサン</t>
    </rPh>
    <rPh sb="10" eb="11">
      <t>シキ</t>
    </rPh>
    <rPh sb="11" eb="12">
      <t>ヨウ</t>
    </rPh>
    <rPh sb="12" eb="14">
      <t>カクニン</t>
    </rPh>
    <rPh sb="19" eb="21">
      <t>サンテイ</t>
    </rPh>
    <rPh sb="21" eb="22">
      <t>シキ</t>
    </rPh>
    <rPh sb="23" eb="24">
      <t>イ</t>
    </rPh>
    <rPh sb="33" eb="35">
      <t>タイショウ</t>
    </rPh>
    <rPh sb="36" eb="37">
      <t>イ</t>
    </rPh>
    <rPh sb="48" eb="51">
      <t>ヨウケントウ</t>
    </rPh>
    <phoneticPr fontId="10"/>
  </si>
  <si>
    <t xml:space="preserve">購入用紙ではなく、印刷機へ投入する用紙のサイズ・枚数であることがわかるように記載する。
</t>
    <rPh sb="0" eb="2">
      <t>コウニュウ</t>
    </rPh>
    <rPh sb="2" eb="4">
      <t>ヨウシ</t>
    </rPh>
    <rPh sb="9" eb="11">
      <t>インサツ</t>
    </rPh>
    <rPh sb="11" eb="12">
      <t>キ</t>
    </rPh>
    <rPh sb="13" eb="15">
      <t>トウニュウ</t>
    </rPh>
    <rPh sb="17" eb="19">
      <t>ヨウシ</t>
    </rPh>
    <rPh sb="24" eb="26">
      <t>マイスウ</t>
    </rPh>
    <rPh sb="38" eb="40">
      <t>キサイ</t>
    </rPh>
    <phoneticPr fontId="10"/>
  </si>
  <si>
    <t>入力シート</t>
    <rPh sb="0" eb="2">
      <t>ニュウリョク</t>
    </rPh>
    <phoneticPr fontId="10"/>
  </si>
  <si>
    <t>枚葉オフセットは両面用の計算式になっている。片面の場合は定格電力×2にする必要あり。</t>
    <rPh sb="0" eb="2">
      <t>マイヨウ</t>
    </rPh>
    <rPh sb="8" eb="10">
      <t>リョウメン</t>
    </rPh>
    <rPh sb="10" eb="11">
      <t>ヨウ</t>
    </rPh>
    <rPh sb="12" eb="14">
      <t>ケイサン</t>
    </rPh>
    <rPh sb="14" eb="15">
      <t>シキ</t>
    </rPh>
    <rPh sb="22" eb="24">
      <t>カタメン</t>
    </rPh>
    <rPh sb="25" eb="27">
      <t>バアイ</t>
    </rPh>
    <rPh sb="28" eb="30">
      <t>テイカク</t>
    </rPh>
    <rPh sb="30" eb="32">
      <t>デンリョク</t>
    </rPh>
    <rPh sb="37" eb="39">
      <t>ヒツヨウ</t>
    </rPh>
    <phoneticPr fontId="10"/>
  </si>
  <si>
    <t>その他</t>
  </si>
  <si>
    <t>その他</t>
    <rPh sb="2" eb="3">
      <t>タ</t>
    </rPh>
    <phoneticPr fontId="10"/>
  </si>
  <si>
    <t>このツールの対象製品の範囲について</t>
    <rPh sb="6" eb="8">
      <t>タイショウ</t>
    </rPh>
    <rPh sb="8" eb="10">
      <t>セイヒン</t>
    </rPh>
    <rPh sb="11" eb="13">
      <t>ハンイ</t>
    </rPh>
    <phoneticPr fontId="10"/>
  </si>
  <si>
    <t xml:space="preserve">オフセット印刷に限る、とする。(POD)は算定できるようになった段階で入れる。
</t>
    <rPh sb="5" eb="7">
      <t>インサツ</t>
    </rPh>
    <rPh sb="8" eb="9">
      <t>カギ</t>
    </rPh>
    <rPh sb="21" eb="23">
      <t>サンテイ</t>
    </rPh>
    <rPh sb="32" eb="34">
      <t>ダンカイ</t>
    </rPh>
    <rPh sb="35" eb="36">
      <t>イ</t>
    </rPh>
    <phoneticPr fontId="10"/>
  </si>
  <si>
    <t>折りの原単位、枚⇒部に変える。</t>
    <rPh sb="0" eb="1">
      <t>オリ</t>
    </rPh>
    <rPh sb="3" eb="6">
      <t>ゲンタンイ</t>
    </rPh>
    <rPh sb="7" eb="8">
      <t>マイ</t>
    </rPh>
    <rPh sb="9" eb="10">
      <t>ブ</t>
    </rPh>
    <rPh sb="11" eb="12">
      <t>カ</t>
    </rPh>
    <phoneticPr fontId="10"/>
  </si>
  <si>
    <t xml:space="preserve">修正済み
</t>
    <rPh sb="0" eb="2">
      <t>シュウセイ</t>
    </rPh>
    <rPh sb="2" eb="3">
      <t>ズ</t>
    </rPh>
    <phoneticPr fontId="10"/>
  </si>
  <si>
    <t>データ根拠
算出結果</t>
    <rPh sb="3" eb="5">
      <t>コンキョ</t>
    </rPh>
    <rPh sb="6" eb="8">
      <t>サンシュツ</t>
    </rPh>
    <rPh sb="8" eb="10">
      <t>ケッカ</t>
    </rPh>
    <phoneticPr fontId="10"/>
  </si>
  <si>
    <t>プラ製封筒の計算式確認（崩れている？）</t>
    <rPh sb="2" eb="3">
      <t>セイ</t>
    </rPh>
    <rPh sb="3" eb="5">
      <t>フウトウ</t>
    </rPh>
    <rPh sb="6" eb="8">
      <t>ケイサン</t>
    </rPh>
    <rPh sb="8" eb="9">
      <t>シキ</t>
    </rPh>
    <rPh sb="9" eb="11">
      <t>カクニン</t>
    </rPh>
    <rPh sb="12" eb="13">
      <t>クズ</t>
    </rPh>
    <phoneticPr fontId="10"/>
  </si>
  <si>
    <t xml:space="preserve">インキ・糊・針金の廃棄輸送、廃棄原単位に含まれているので削除する。
</t>
    <rPh sb="4" eb="5">
      <t>ノリ</t>
    </rPh>
    <rPh sb="6" eb="8">
      <t>ハリガネ</t>
    </rPh>
    <rPh sb="9" eb="11">
      <t>ハイキ</t>
    </rPh>
    <rPh sb="11" eb="13">
      <t>ユソウ</t>
    </rPh>
    <rPh sb="14" eb="16">
      <t>ハイキ</t>
    </rPh>
    <rPh sb="16" eb="19">
      <t>ゲンタンイ</t>
    </rPh>
    <rPh sb="20" eb="21">
      <t>フク</t>
    </rPh>
    <rPh sb="28" eb="30">
      <t>サクジョ</t>
    </rPh>
    <phoneticPr fontId="10"/>
  </si>
  <si>
    <t xml:space="preserve">コート層の廃棄は処分重量全部に対してではなく、焼却する分だけ計上する。リサイクルに回る分には計上しない。
</t>
    <rPh sb="3" eb="4">
      <t>ソウ</t>
    </rPh>
    <rPh sb="5" eb="7">
      <t>ハイキ</t>
    </rPh>
    <rPh sb="8" eb="10">
      <t>ショブン</t>
    </rPh>
    <rPh sb="10" eb="12">
      <t>ジュウリョウ</t>
    </rPh>
    <rPh sb="12" eb="14">
      <t>ゼンブ</t>
    </rPh>
    <rPh sb="15" eb="16">
      <t>タイ</t>
    </rPh>
    <rPh sb="23" eb="25">
      <t>ショウキャク</t>
    </rPh>
    <rPh sb="27" eb="28">
      <t>ブン</t>
    </rPh>
    <rPh sb="30" eb="32">
      <t>ケイジョウ</t>
    </rPh>
    <rPh sb="41" eb="42">
      <t>マワ</t>
    </rPh>
    <rPh sb="43" eb="44">
      <t>ブン</t>
    </rPh>
    <rPh sb="46" eb="48">
      <t>ケイジョウ</t>
    </rPh>
    <phoneticPr fontId="10"/>
  </si>
  <si>
    <t>データ根拠</t>
    <rPh sb="3" eb="5">
      <t>コンキョ</t>
    </rPh>
    <phoneticPr fontId="10"/>
  </si>
  <si>
    <t>流通段階、製品の重量が計算できていない。用紙連量×用紙枚数×（製品面積／用紙面積）　＋　インキ重量　＋　糊または針金重量</t>
    <rPh sb="0" eb="2">
      <t>リュウツウ</t>
    </rPh>
    <rPh sb="2" eb="4">
      <t>ダンカイ</t>
    </rPh>
    <phoneticPr fontId="10"/>
  </si>
  <si>
    <t>シートの幅を調整する。</t>
    <rPh sb="4" eb="5">
      <t>ハバ</t>
    </rPh>
    <rPh sb="6" eb="8">
      <t>チョウセイ</t>
    </rPh>
    <phoneticPr fontId="10"/>
  </si>
  <si>
    <t xml:space="preserve">PS版の原単位選択、字が見切れてしまう
</t>
    <rPh sb="2" eb="3">
      <t>バン</t>
    </rPh>
    <rPh sb="4" eb="7">
      <t>ゲンタンイ</t>
    </rPh>
    <rPh sb="7" eb="9">
      <t>センタク</t>
    </rPh>
    <rPh sb="10" eb="11">
      <t>ジ</t>
    </rPh>
    <rPh sb="12" eb="14">
      <t>ミキ</t>
    </rPh>
    <phoneticPr fontId="10"/>
  </si>
  <si>
    <t xml:space="preserve">部数から綴じ方までの記載は印刷物の仕様情報として前にもってくる。
</t>
    <rPh sb="0" eb="2">
      <t>ブスウ</t>
    </rPh>
    <rPh sb="4" eb="5">
      <t>ト</t>
    </rPh>
    <rPh sb="6" eb="7">
      <t>カタ</t>
    </rPh>
    <rPh sb="10" eb="12">
      <t>キサイ</t>
    </rPh>
    <rPh sb="13" eb="16">
      <t>インサツブツ</t>
    </rPh>
    <rPh sb="17" eb="19">
      <t>シヨウ</t>
    </rPh>
    <rPh sb="19" eb="21">
      <t>ジョウホウ</t>
    </rPh>
    <rPh sb="24" eb="25">
      <t>マエ</t>
    </rPh>
    <phoneticPr fontId="10"/>
  </si>
  <si>
    <t>生産時のサイト間輸送</t>
    <rPh sb="0" eb="2">
      <t>セイサン</t>
    </rPh>
    <rPh sb="2" eb="3">
      <t>ジ</t>
    </rPh>
    <rPh sb="7" eb="8">
      <t>アイダ</t>
    </rPh>
    <rPh sb="8" eb="10">
      <t>ユソウ</t>
    </rPh>
    <phoneticPr fontId="10"/>
  </si>
  <si>
    <t>修正済み</t>
    <rPh sb="0" eb="2">
      <t>シュウセイ</t>
    </rPh>
    <rPh sb="2" eb="3">
      <t>ズ</t>
    </rPh>
    <phoneticPr fontId="10"/>
  </si>
  <si>
    <t>エビデンス名</t>
    <rPh sb="5" eb="6">
      <t>メイ</t>
    </rPh>
    <phoneticPr fontId="10"/>
  </si>
  <si>
    <t>エビデンス名称</t>
    <rPh sb="5" eb="7">
      <t>メイショウ</t>
    </rPh>
    <phoneticPr fontId="10"/>
  </si>
  <si>
    <t>受注カード</t>
  </si>
  <si>
    <t>受注カード</t>
    <phoneticPr fontId="10"/>
  </si>
  <si>
    <t>生産カード</t>
  </si>
  <si>
    <t>生産カード</t>
    <phoneticPr fontId="10"/>
  </si>
  <si>
    <t>生産情報</t>
    <phoneticPr fontId="10"/>
  </si>
  <si>
    <t>印刷物ＣＦＰ　入力シート</t>
    <phoneticPr fontId="10"/>
  </si>
  <si>
    <t>PS版情報</t>
    <rPh sb="2" eb="3">
      <t>バン</t>
    </rPh>
    <rPh sb="3" eb="5">
      <t>ジョウホウ</t>
    </rPh>
    <phoneticPr fontId="67"/>
  </si>
  <si>
    <t>印刷機情報</t>
    <rPh sb="0" eb="2">
      <t>インサツ</t>
    </rPh>
    <rPh sb="2" eb="3">
      <t>キ</t>
    </rPh>
    <rPh sb="3" eb="5">
      <t>ジョウホウ</t>
    </rPh>
    <phoneticPr fontId="10"/>
  </si>
  <si>
    <t>製品発送用封筒の情報</t>
    <phoneticPr fontId="10"/>
  </si>
  <si>
    <t>アンケート等がある場合</t>
    <rPh sb="5" eb="6">
      <t>ナド</t>
    </rPh>
    <rPh sb="9" eb="11">
      <t>バアイ</t>
    </rPh>
    <phoneticPr fontId="10"/>
  </si>
  <si>
    <t>見積書</t>
    <phoneticPr fontId="10"/>
  </si>
  <si>
    <t>機械仕様書</t>
  </si>
  <si>
    <t>機械仕様書</t>
    <phoneticPr fontId="10"/>
  </si>
  <si>
    <t>作業指示書</t>
  </si>
  <si>
    <t>作業指示書</t>
    <phoneticPr fontId="10"/>
  </si>
  <si>
    <t>営業情報</t>
  </si>
  <si>
    <t>営業情報</t>
    <phoneticPr fontId="10"/>
  </si>
  <si>
    <t>その他</t>
    <phoneticPr fontId="10"/>
  </si>
  <si>
    <t>-</t>
    <phoneticPr fontId="10"/>
  </si>
  <si>
    <t>流通段階以降の本紙の重量</t>
    <phoneticPr fontId="10"/>
  </si>
  <si>
    <t>緑のタイトル欄に注意書きを記載。</t>
    <rPh sb="0" eb="1">
      <t>ミドリ</t>
    </rPh>
    <rPh sb="6" eb="7">
      <t>ラン</t>
    </rPh>
    <rPh sb="8" eb="11">
      <t>チュウイガ</t>
    </rPh>
    <rPh sb="13" eb="15">
      <t>キサイ</t>
    </rPh>
    <phoneticPr fontId="10"/>
  </si>
  <si>
    <t>PCRによる焼却率</t>
    <rPh sb="6" eb="8">
      <t>ショウキャク</t>
    </rPh>
    <rPh sb="8" eb="9">
      <t>リツ</t>
    </rPh>
    <phoneticPr fontId="10"/>
  </si>
  <si>
    <t xml:space="preserve">廃棄段階、製品重量が印刷ロス分も含んだ重さになっている。（流通段階以降同じ。）
</t>
    <rPh sb="0" eb="2">
      <t>ハイキ</t>
    </rPh>
    <rPh sb="2" eb="4">
      <t>ダンカイ</t>
    </rPh>
    <rPh sb="5" eb="7">
      <t>セイヒン</t>
    </rPh>
    <rPh sb="7" eb="9">
      <t>ジュウリョウ</t>
    </rPh>
    <rPh sb="10" eb="12">
      <t>インサツ</t>
    </rPh>
    <rPh sb="14" eb="15">
      <t>ブン</t>
    </rPh>
    <rPh sb="16" eb="17">
      <t>フク</t>
    </rPh>
    <rPh sb="19" eb="20">
      <t>オモ</t>
    </rPh>
    <rPh sb="29" eb="31">
      <t>リュウツウ</t>
    </rPh>
    <rPh sb="31" eb="33">
      <t>ダンカイ</t>
    </rPh>
    <rPh sb="33" eb="35">
      <t>イコウ</t>
    </rPh>
    <rPh sb="35" eb="36">
      <t>オナ</t>
    </rPh>
    <phoneticPr fontId="10"/>
  </si>
  <si>
    <t>kg/㎡・色</t>
    <rPh sb="5" eb="6">
      <t>イロ</t>
    </rPh>
    <phoneticPr fontId="10"/>
  </si>
  <si>
    <t>A倍判</t>
    <rPh sb="1" eb="2">
      <t>バイ</t>
    </rPh>
    <rPh sb="2" eb="3">
      <t>バン</t>
    </rPh>
    <phoneticPr fontId="10"/>
  </si>
  <si>
    <t>B全判</t>
    <rPh sb="1" eb="2">
      <t>ゼン</t>
    </rPh>
    <rPh sb="2" eb="3">
      <t>バン</t>
    </rPh>
    <phoneticPr fontId="10"/>
  </si>
  <si>
    <t>B半裁</t>
    <rPh sb="1" eb="3">
      <t>ハンサイ</t>
    </rPh>
    <phoneticPr fontId="10"/>
  </si>
  <si>
    <t>A3ノビ</t>
    <phoneticPr fontId="10"/>
  </si>
  <si>
    <t>PCR原単位を加工</t>
    <rPh sb="3" eb="6">
      <t>ゲンタンイ</t>
    </rPh>
    <rPh sb="7" eb="9">
      <t>カコウ</t>
    </rPh>
    <phoneticPr fontId="10"/>
  </si>
  <si>
    <t xml:space="preserve">①A倍、②B全、③B半裁、④A3ノビ　を追加する。
（別で設定した場合、用紙に連動する原単位を作成する必要がある。
⇒輪転の㎡のデータからサイズで換算して原単位化する。）
</t>
    <rPh sb="2" eb="3">
      <t>バイ</t>
    </rPh>
    <rPh sb="6" eb="7">
      <t>ゼン</t>
    </rPh>
    <rPh sb="10" eb="12">
      <t>ハンサイ</t>
    </rPh>
    <rPh sb="20" eb="22">
      <t>ツイカ</t>
    </rPh>
    <rPh sb="27" eb="28">
      <t>ベツ</t>
    </rPh>
    <rPh sb="29" eb="31">
      <t>セッテイ</t>
    </rPh>
    <rPh sb="33" eb="35">
      <t>バアイ</t>
    </rPh>
    <rPh sb="36" eb="38">
      <t>ヨウシ</t>
    </rPh>
    <rPh sb="39" eb="41">
      <t>レンドウ</t>
    </rPh>
    <rPh sb="43" eb="46">
      <t>ゲンタンイ</t>
    </rPh>
    <rPh sb="47" eb="49">
      <t>サクセイ</t>
    </rPh>
    <rPh sb="51" eb="53">
      <t>ヒツヨウ</t>
    </rPh>
    <rPh sb="59" eb="61">
      <t>リンテン</t>
    </rPh>
    <rPh sb="73" eb="75">
      <t>カンサン</t>
    </rPh>
    <rPh sb="77" eb="80">
      <t>ゲンタンイ</t>
    </rPh>
    <rPh sb="80" eb="81">
      <t>カ</t>
    </rPh>
    <phoneticPr fontId="10"/>
  </si>
  <si>
    <t>㎡</t>
  </si>
  <si>
    <t>A倍判</t>
    <rPh sb="1" eb="2">
      <t>バイ</t>
    </rPh>
    <rPh sb="2" eb="3">
      <t>ハン</t>
    </rPh>
    <phoneticPr fontId="10"/>
  </si>
  <si>
    <t>A3ノビ</t>
    <phoneticPr fontId="10"/>
  </si>
  <si>
    <t>ｋｇ-CO3/枚×色数</t>
    <rPh sb="7" eb="8">
      <t>マイ</t>
    </rPh>
    <rPh sb="9" eb="10">
      <t>イロ</t>
    </rPh>
    <rPh sb="10" eb="11">
      <t>カズ</t>
    </rPh>
    <phoneticPr fontId="10"/>
  </si>
  <si>
    <t>㎏-CO2/㎡・色</t>
    <rPh sb="8" eb="9">
      <t>イロ</t>
    </rPh>
    <phoneticPr fontId="10"/>
  </si>
  <si>
    <t>A3ノビ</t>
    <phoneticPr fontId="10"/>
  </si>
  <si>
    <t>A倍判</t>
    <rPh sb="1" eb="2">
      <t>バイ</t>
    </rPh>
    <rPh sb="2" eb="3">
      <t>バン</t>
    </rPh>
    <phoneticPr fontId="10"/>
  </si>
  <si>
    <t>㎏-CO3/枚・色</t>
    <rPh sb="6" eb="7">
      <t>マイ</t>
    </rPh>
    <rPh sb="8" eb="9">
      <t>イロ</t>
    </rPh>
    <phoneticPr fontId="10"/>
  </si>
  <si>
    <t>面積（㎡）</t>
    <rPh sb="0" eb="2">
      <t>メンセキ</t>
    </rPh>
    <phoneticPr fontId="10"/>
  </si>
  <si>
    <t>OK</t>
    <phoneticPr fontId="10"/>
  </si>
  <si>
    <t>POD</t>
    <phoneticPr fontId="10"/>
  </si>
  <si>
    <t>枚葉オフセット・両面機</t>
    <rPh sb="0" eb="2">
      <t>マイヨウ</t>
    </rPh>
    <rPh sb="8" eb="10">
      <t>リョウメン</t>
    </rPh>
    <rPh sb="10" eb="11">
      <t>キ</t>
    </rPh>
    <phoneticPr fontId="10"/>
  </si>
  <si>
    <t>枚葉オフセット・片面機</t>
    <rPh sb="0" eb="2">
      <t>マイヨウ</t>
    </rPh>
    <rPh sb="8" eb="10">
      <t>カタメン</t>
    </rPh>
    <rPh sb="10" eb="11">
      <t>キ</t>
    </rPh>
    <phoneticPr fontId="10"/>
  </si>
  <si>
    <t>印刷方式</t>
    <rPh sb="0" eb="2">
      <t>インサツ</t>
    </rPh>
    <rPh sb="2" eb="4">
      <t>ホウシキ</t>
    </rPh>
    <phoneticPr fontId="10"/>
  </si>
  <si>
    <t>枚葉オフセット・両面機</t>
    <rPh sb="0" eb="2">
      <t>マイヨウ</t>
    </rPh>
    <rPh sb="8" eb="10">
      <t>リョウメン</t>
    </rPh>
    <rPh sb="10" eb="11">
      <t>キ</t>
    </rPh>
    <phoneticPr fontId="10"/>
  </si>
  <si>
    <t>枚葉オフセット・片面機</t>
    <rPh sb="0" eb="2">
      <t>マイヨウ</t>
    </rPh>
    <rPh sb="8" eb="10">
      <t>カタメン</t>
    </rPh>
    <rPh sb="10" eb="11">
      <t>キ</t>
    </rPh>
    <phoneticPr fontId="10"/>
  </si>
  <si>
    <t>POD</t>
    <phoneticPr fontId="10"/>
  </si>
  <si>
    <t>輪転印刷機</t>
    <rPh sb="0" eb="2">
      <t>リンテン</t>
    </rPh>
    <rPh sb="2" eb="5">
      <t>インサツキ</t>
    </rPh>
    <phoneticPr fontId="10"/>
  </si>
  <si>
    <t>消費電力①</t>
    <rPh sb="0" eb="2">
      <t>ショウヒ</t>
    </rPh>
    <rPh sb="2" eb="4">
      <t>デンリョク</t>
    </rPh>
    <phoneticPr fontId="10"/>
  </si>
  <si>
    <t>消費電力②</t>
    <rPh sb="0" eb="2">
      <t>ショウヒ</t>
    </rPh>
    <rPh sb="2" eb="4">
      <t>デンリョク</t>
    </rPh>
    <phoneticPr fontId="10"/>
  </si>
  <si>
    <t>消費電力③</t>
    <rPh sb="0" eb="2">
      <t>ショウヒ</t>
    </rPh>
    <rPh sb="2" eb="4">
      <t>デンリョク</t>
    </rPh>
    <phoneticPr fontId="10"/>
  </si>
  <si>
    <t>消費電力④</t>
    <rPh sb="0" eb="2">
      <t>ショウヒ</t>
    </rPh>
    <rPh sb="2" eb="4">
      <t>デンリョク</t>
    </rPh>
    <phoneticPr fontId="10"/>
  </si>
  <si>
    <t>消費電力⑤</t>
    <rPh sb="0" eb="2">
      <t>ショウヒ</t>
    </rPh>
    <rPh sb="2" eb="4">
      <t>デンリョク</t>
    </rPh>
    <phoneticPr fontId="10"/>
  </si>
  <si>
    <t>印刷予備紙</t>
    <rPh sb="0" eb="2">
      <t>インサツ</t>
    </rPh>
    <rPh sb="2" eb="4">
      <t>ヨビ</t>
    </rPh>
    <rPh sb="4" eb="5">
      <t>カミ</t>
    </rPh>
    <phoneticPr fontId="10"/>
  </si>
  <si>
    <t>製本予備紙</t>
    <rPh sb="0" eb="2">
      <t>セイホン</t>
    </rPh>
    <rPh sb="2" eb="4">
      <t>ヨビ</t>
    </rPh>
    <rPh sb="4" eb="5">
      <t>カミ</t>
    </rPh>
    <phoneticPr fontId="10"/>
  </si>
  <si>
    <t>最後に要確認！</t>
    <rPh sb="0" eb="2">
      <t>サイゴ</t>
    </rPh>
    <rPh sb="3" eb="4">
      <t>ヨウ</t>
    </rPh>
    <rPh sb="4" eb="6">
      <t>カクニン</t>
    </rPh>
    <phoneticPr fontId="10"/>
  </si>
  <si>
    <t>最後に確認</t>
    <rPh sb="0" eb="2">
      <t>サイゴ</t>
    </rPh>
    <rPh sb="3" eb="5">
      <t>カクニン</t>
    </rPh>
    <phoneticPr fontId="10"/>
  </si>
  <si>
    <t>予備紙廃棄</t>
    <rPh sb="0" eb="2">
      <t>ヨビ</t>
    </rPh>
    <rPh sb="2" eb="3">
      <t>カミ</t>
    </rPh>
    <rPh sb="3" eb="5">
      <t>ハイキ</t>
    </rPh>
    <phoneticPr fontId="10"/>
  </si>
  <si>
    <t>Ｂ19</t>
    <phoneticPr fontId="10"/>
  </si>
  <si>
    <t>kg</t>
    <phoneticPr fontId="10"/>
  </si>
  <si>
    <t>断裁ロスのリサイクル</t>
    <rPh sb="0" eb="2">
      <t>ダンサイ</t>
    </rPh>
    <phoneticPr fontId="10"/>
  </si>
  <si>
    <t>被印刷物①本紙重量</t>
    <rPh sb="0" eb="1">
      <t>ヒ</t>
    </rPh>
    <rPh sb="1" eb="4">
      <t>インサツブツ</t>
    </rPh>
    <rPh sb="5" eb="7">
      <t>ホンシ</t>
    </rPh>
    <rPh sb="7" eb="9">
      <t>ジュウリョウ</t>
    </rPh>
    <phoneticPr fontId="10"/>
  </si>
  <si>
    <t>被印刷物②本紙重量</t>
    <rPh sb="0" eb="1">
      <t>ヒ</t>
    </rPh>
    <rPh sb="1" eb="4">
      <t>インサツブツ</t>
    </rPh>
    <rPh sb="5" eb="7">
      <t>ホンシ</t>
    </rPh>
    <rPh sb="7" eb="9">
      <t>ジュウリョウ</t>
    </rPh>
    <phoneticPr fontId="10"/>
  </si>
  <si>
    <t>被印刷物③本紙重量</t>
    <rPh sb="0" eb="1">
      <t>ヒ</t>
    </rPh>
    <rPh sb="1" eb="4">
      <t>インサツブツ</t>
    </rPh>
    <rPh sb="5" eb="7">
      <t>ホンシ</t>
    </rPh>
    <rPh sb="7" eb="9">
      <t>ジュウリョウ</t>
    </rPh>
    <phoneticPr fontId="10"/>
  </si>
  <si>
    <t>被印刷物④本紙重量</t>
    <rPh sb="0" eb="1">
      <t>ヒ</t>
    </rPh>
    <rPh sb="1" eb="4">
      <t>インサツブツ</t>
    </rPh>
    <rPh sb="5" eb="7">
      <t>ホンシ</t>
    </rPh>
    <rPh sb="7" eb="9">
      <t>ジュウリョウ</t>
    </rPh>
    <phoneticPr fontId="10"/>
  </si>
  <si>
    <t>被印刷物⑤本紙重量</t>
    <rPh sb="0" eb="1">
      <t>ヒ</t>
    </rPh>
    <rPh sb="1" eb="4">
      <t>インサツブツ</t>
    </rPh>
    <rPh sb="5" eb="7">
      <t>ホンシ</t>
    </rPh>
    <rPh sb="7" eb="9">
      <t>ジュウリョウ</t>
    </rPh>
    <phoneticPr fontId="10"/>
  </si>
  <si>
    <t>紙系廃棄物のリサイクル準備処理</t>
    <phoneticPr fontId="10"/>
  </si>
  <si>
    <t>kg-CO2/㎏</t>
    <phoneticPr fontId="10"/>
  </si>
  <si>
    <t>A-JP428001</t>
    <phoneticPr fontId="10"/>
  </si>
  <si>
    <t>被印刷物①製品重量</t>
    <rPh sb="0" eb="1">
      <t>ヒ</t>
    </rPh>
    <rPh sb="1" eb="4">
      <t>インサツブツ</t>
    </rPh>
    <rPh sb="5" eb="7">
      <t>セイヒン</t>
    </rPh>
    <rPh sb="7" eb="9">
      <t>ジュウリョウ</t>
    </rPh>
    <phoneticPr fontId="10"/>
  </si>
  <si>
    <t>被印刷物②製品重量</t>
    <rPh sb="0" eb="1">
      <t>ヒ</t>
    </rPh>
    <rPh sb="1" eb="4">
      <t>インサツブツ</t>
    </rPh>
    <rPh sb="5" eb="7">
      <t>セイヒン</t>
    </rPh>
    <rPh sb="7" eb="9">
      <t>ジュウリョウ</t>
    </rPh>
    <phoneticPr fontId="10"/>
  </si>
  <si>
    <t>被印刷物③製品重量</t>
    <rPh sb="0" eb="1">
      <t>ヒ</t>
    </rPh>
    <rPh sb="1" eb="4">
      <t>インサツブツ</t>
    </rPh>
    <rPh sb="5" eb="7">
      <t>セイヒン</t>
    </rPh>
    <rPh sb="7" eb="9">
      <t>ジュウリョウ</t>
    </rPh>
    <phoneticPr fontId="10"/>
  </si>
  <si>
    <t>被印刷物④製品重量</t>
    <rPh sb="0" eb="1">
      <t>ヒ</t>
    </rPh>
    <rPh sb="1" eb="4">
      <t>インサツブツ</t>
    </rPh>
    <rPh sb="5" eb="7">
      <t>セイヒン</t>
    </rPh>
    <rPh sb="7" eb="9">
      <t>ジュウリョウ</t>
    </rPh>
    <phoneticPr fontId="10"/>
  </si>
  <si>
    <t>被印刷物⑤製品重量</t>
    <rPh sb="0" eb="1">
      <t>ヒ</t>
    </rPh>
    <rPh sb="1" eb="4">
      <t>インサツブツ</t>
    </rPh>
    <rPh sb="5" eb="7">
      <t>セイヒン</t>
    </rPh>
    <rPh sb="7" eb="9">
      <t>ジュウリョウ</t>
    </rPh>
    <phoneticPr fontId="10"/>
  </si>
  <si>
    <t>kg</t>
    <phoneticPr fontId="10"/>
  </si>
  <si>
    <t xml:space="preserve">生産段階で仕上がりの面積からロス重量を出して、ロスは100％リサイクルされるようにする。
</t>
    <rPh sb="0" eb="2">
      <t>セイサン</t>
    </rPh>
    <rPh sb="2" eb="4">
      <t>ダンカイ</t>
    </rPh>
    <rPh sb="5" eb="7">
      <t>シア</t>
    </rPh>
    <rPh sb="10" eb="12">
      <t>メンセキ</t>
    </rPh>
    <rPh sb="16" eb="18">
      <t>ジュウリョウ</t>
    </rPh>
    <rPh sb="19" eb="20">
      <t>ダ</t>
    </rPh>
    <phoneticPr fontId="10"/>
  </si>
  <si>
    <t>kg-CO2/㎡×色数</t>
    <phoneticPr fontId="10"/>
  </si>
  <si>
    <t xml:space="preserve">流通段階のインキの輸送量、輪転オフセットの場合も枚と同じ計算式になっているがこれでよいか？
</t>
    <rPh sb="0" eb="2">
      <t>リュウツウ</t>
    </rPh>
    <rPh sb="2" eb="4">
      <t>ダンカイ</t>
    </rPh>
    <rPh sb="9" eb="12">
      <t>ユソウリョウ</t>
    </rPh>
    <rPh sb="13" eb="15">
      <t>リンテン</t>
    </rPh>
    <rPh sb="21" eb="23">
      <t>バアイ</t>
    </rPh>
    <rPh sb="24" eb="25">
      <t>マイ</t>
    </rPh>
    <rPh sb="26" eb="27">
      <t>オナ</t>
    </rPh>
    <rPh sb="28" eb="30">
      <t>ケイサン</t>
    </rPh>
    <rPh sb="30" eb="31">
      <t>シキ</t>
    </rPh>
    <phoneticPr fontId="10"/>
  </si>
  <si>
    <t xml:space="preserve">原材料調達のその他印刷材料、輪転オフセットの場合も枚と同じ計算式になっているがこれでよいか？
</t>
    <rPh sb="0" eb="3">
      <t>ゲンザイリョウ</t>
    </rPh>
    <rPh sb="3" eb="5">
      <t>チョウタツ</t>
    </rPh>
    <rPh sb="8" eb="9">
      <t>タ</t>
    </rPh>
    <rPh sb="9" eb="11">
      <t>インサツ</t>
    </rPh>
    <rPh sb="11" eb="13">
      <t>ザイリョウ</t>
    </rPh>
    <rPh sb="14" eb="16">
      <t>リンテン</t>
    </rPh>
    <rPh sb="22" eb="24">
      <t>バアイ</t>
    </rPh>
    <rPh sb="25" eb="26">
      <t>マイ</t>
    </rPh>
    <rPh sb="27" eb="28">
      <t>オナ</t>
    </rPh>
    <rPh sb="29" eb="31">
      <t>ケイサン</t>
    </rPh>
    <rPh sb="31" eb="32">
      <t>シキ</t>
    </rPh>
    <phoneticPr fontId="10"/>
  </si>
  <si>
    <t>オフセットだと紙の枚数を入れる欄に㎡で記載するようにする。
（原単位名・単位を「㎡・色」に修正</t>
    <rPh sb="36" eb="38">
      <t>タンイ</t>
    </rPh>
    <rPh sb="42" eb="43">
      <t>イロ</t>
    </rPh>
    <rPh sb="45" eb="47">
      <t>シュウセイ</t>
    </rPh>
    <phoneticPr fontId="10"/>
  </si>
  <si>
    <t>用紙サイズごとのPCR原単位×本紙用紙枚数（輪転の場合は㎡）×色数</t>
    <rPh sb="0" eb="2">
      <t>ヨウシ</t>
    </rPh>
    <rPh sb="11" eb="14">
      <t>ゲンタンイ</t>
    </rPh>
    <rPh sb="15" eb="17">
      <t>ホンシ</t>
    </rPh>
    <rPh sb="17" eb="19">
      <t>ヨウシ</t>
    </rPh>
    <rPh sb="19" eb="21">
      <t>マイスウ</t>
    </rPh>
    <rPh sb="22" eb="24">
      <t>リンテン</t>
    </rPh>
    <rPh sb="25" eb="27">
      <t>バアイ</t>
    </rPh>
    <rPh sb="31" eb="32">
      <t>イロ</t>
    </rPh>
    <rPh sb="32" eb="33">
      <t>カズ</t>
    </rPh>
    <phoneticPr fontId="10"/>
  </si>
  <si>
    <t>表+裏/2　の計算式を追加</t>
    <rPh sb="0" eb="1">
      <t>オモテ</t>
    </rPh>
    <rPh sb="2" eb="3">
      <t>ウラ</t>
    </rPh>
    <rPh sb="7" eb="9">
      <t>ケイサン</t>
    </rPh>
    <rPh sb="9" eb="10">
      <t>シキ</t>
    </rPh>
    <rPh sb="11" eb="13">
      <t>ツイカ</t>
    </rPh>
    <phoneticPr fontId="10"/>
  </si>
  <si>
    <t xml:space="preserve">インキの輸送量算定時のインキ重量、色数を表しか数えていない
</t>
    <rPh sb="4" eb="7">
      <t>ユソウリョウ</t>
    </rPh>
    <rPh sb="7" eb="9">
      <t>サンテイ</t>
    </rPh>
    <rPh sb="9" eb="10">
      <t>ジ</t>
    </rPh>
    <rPh sb="14" eb="16">
      <t>ジュウリョウ</t>
    </rPh>
    <rPh sb="17" eb="18">
      <t>イロ</t>
    </rPh>
    <rPh sb="18" eb="19">
      <t>カズ</t>
    </rPh>
    <rPh sb="20" eb="21">
      <t>オモテ</t>
    </rPh>
    <rPh sb="23" eb="24">
      <t>カゾ</t>
    </rPh>
    <phoneticPr fontId="10"/>
  </si>
  <si>
    <t>封筒の重量</t>
    <rPh sb="0" eb="2">
      <t>フウトウ</t>
    </rPh>
    <rPh sb="3" eb="5">
      <t>ジュウリョウ</t>
    </rPh>
    <phoneticPr fontId="10"/>
  </si>
  <si>
    <t>●封筒の返送と廃棄</t>
    <rPh sb="1" eb="3">
      <t>フウトウ</t>
    </rPh>
    <rPh sb="4" eb="6">
      <t>ヘンソウ</t>
    </rPh>
    <rPh sb="7" eb="9">
      <t>ハイキ</t>
    </rPh>
    <phoneticPr fontId="10"/>
  </si>
  <si>
    <t>kg-CO2/枚</t>
    <rPh sb="7" eb="8">
      <t>マイ</t>
    </rPh>
    <phoneticPr fontId="10"/>
  </si>
  <si>
    <t>封紙製筒の廃棄</t>
    <rPh sb="0" eb="1">
      <t>フウ</t>
    </rPh>
    <rPh sb="1" eb="3">
      <t>カミセイ</t>
    </rPh>
    <rPh sb="3" eb="4">
      <t>ツツ</t>
    </rPh>
    <rPh sb="5" eb="7">
      <t>ハイキ</t>
    </rPh>
    <phoneticPr fontId="10"/>
  </si>
  <si>
    <t>※0を表示させるために入れている</t>
    <rPh sb="3" eb="5">
      <t>ヒョウジ</t>
    </rPh>
    <rPh sb="11" eb="12">
      <t>イ</t>
    </rPh>
    <phoneticPr fontId="10"/>
  </si>
  <si>
    <t>算出結果</t>
    <rPh sb="0" eb="2">
      <t>サンシュツ</t>
    </rPh>
    <rPh sb="2" eb="4">
      <t>ケッカ</t>
    </rPh>
    <phoneticPr fontId="10"/>
  </si>
  <si>
    <t xml:space="preserve">紙製封筒の廃棄リサイクルの原単位の値が間違えている（原単位一覧にない。違う原単位表からひっぱってきている）
</t>
    <rPh sb="0" eb="2">
      <t>カミセイ</t>
    </rPh>
    <rPh sb="2" eb="4">
      <t>フウトウ</t>
    </rPh>
    <rPh sb="5" eb="7">
      <t>ハイキ</t>
    </rPh>
    <rPh sb="13" eb="16">
      <t>ゲンタンイ</t>
    </rPh>
    <rPh sb="17" eb="18">
      <t>アタイ</t>
    </rPh>
    <rPh sb="19" eb="21">
      <t>マチガ</t>
    </rPh>
    <rPh sb="26" eb="29">
      <t>ゲンタンイ</t>
    </rPh>
    <rPh sb="29" eb="31">
      <t>イチラン</t>
    </rPh>
    <rPh sb="35" eb="36">
      <t>チガ</t>
    </rPh>
    <rPh sb="37" eb="40">
      <t>ゲンタンイ</t>
    </rPh>
    <rPh sb="40" eb="41">
      <t>ヒョウ</t>
    </rPh>
    <phoneticPr fontId="10"/>
  </si>
  <si>
    <t>印刷方式にPODを選択した場合、PS版の値を計上しないよう修正。</t>
    <rPh sb="0" eb="2">
      <t>インサツ</t>
    </rPh>
    <rPh sb="2" eb="4">
      <t>ホウシキ</t>
    </rPh>
    <rPh sb="9" eb="11">
      <t>センタク</t>
    </rPh>
    <rPh sb="13" eb="15">
      <t>バアイ</t>
    </rPh>
    <rPh sb="18" eb="19">
      <t>バン</t>
    </rPh>
    <rPh sb="20" eb="21">
      <t>アタイ</t>
    </rPh>
    <rPh sb="22" eb="24">
      <t>ケイジョウ</t>
    </rPh>
    <rPh sb="29" eb="31">
      <t>シュウセイ</t>
    </rPh>
    <phoneticPr fontId="10"/>
  </si>
  <si>
    <t xml:space="preserve">PODの場合でもＰＳ版が計上されるようになっている。
</t>
    <rPh sb="4" eb="6">
      <t>バアイ</t>
    </rPh>
    <rPh sb="10" eb="11">
      <t>バン</t>
    </rPh>
    <rPh sb="12" eb="14">
      <t>ケイジョウ</t>
    </rPh>
    <phoneticPr fontId="10"/>
  </si>
  <si>
    <t>㎡</t>
    <phoneticPr fontId="10"/>
  </si>
  <si>
    <t>PS版サイズ（タテ×ヨコ）×枚数
（印刷方式がPODの場合は計上しない）</t>
    <rPh sb="2" eb="3">
      <t>バン</t>
    </rPh>
    <rPh sb="14" eb="16">
      <t>マイスウ</t>
    </rPh>
    <phoneticPr fontId="10"/>
  </si>
  <si>
    <t xml:space="preserve">仕上がりページ数は、個々の印刷機に割り振らなくてもよいのではないか。
</t>
    <rPh sb="0" eb="2">
      <t>シア</t>
    </rPh>
    <rPh sb="7" eb="8">
      <t>スウ</t>
    </rPh>
    <rPh sb="10" eb="12">
      <t>ココ</t>
    </rPh>
    <rPh sb="13" eb="15">
      <t>インサツ</t>
    </rPh>
    <rPh sb="15" eb="16">
      <t>キ</t>
    </rPh>
    <rPh sb="17" eb="18">
      <t>ワ</t>
    </rPh>
    <rPh sb="19" eb="20">
      <t>フ</t>
    </rPh>
    <phoneticPr fontId="10"/>
  </si>
  <si>
    <t>入力シート
データ根拠
算出結果</t>
    <rPh sb="0" eb="2">
      <t>ニュウリョク</t>
    </rPh>
    <rPh sb="9" eb="11">
      <t>コンキョ</t>
    </rPh>
    <rPh sb="12" eb="14">
      <t>サンシュツ</t>
    </rPh>
    <rPh sb="14" eb="16">
      <t>ケッカ</t>
    </rPh>
    <phoneticPr fontId="10"/>
  </si>
  <si>
    <t>被印刷物輸送量
生産者⇒納品先</t>
    <rPh sb="0" eb="1">
      <t>ヒ</t>
    </rPh>
    <rPh sb="1" eb="4">
      <t>インサツブツ</t>
    </rPh>
    <rPh sb="4" eb="7">
      <t>ユソウリョウ</t>
    </rPh>
    <rPh sb="8" eb="11">
      <t>セイサンシャ</t>
    </rPh>
    <rPh sb="12" eb="14">
      <t>ノウヒン</t>
    </rPh>
    <rPh sb="14" eb="15">
      <t>サキ</t>
    </rPh>
    <phoneticPr fontId="10"/>
  </si>
  <si>
    <t>㎞</t>
    <phoneticPr fontId="10"/>
  </si>
  <si>
    <t>実測</t>
    <rPh sb="0" eb="2">
      <t>ジッソク</t>
    </rPh>
    <phoneticPr fontId="10"/>
  </si>
  <si>
    <t>不明</t>
    <rPh sb="0" eb="2">
      <t>フメイ</t>
    </rPh>
    <phoneticPr fontId="10"/>
  </si>
  <si>
    <t>生産サイト⇒
納品・販売サイト</t>
    <rPh sb="0" eb="2">
      <t>セイサン</t>
    </rPh>
    <rPh sb="7" eb="9">
      <t>ノウヒン</t>
    </rPh>
    <rPh sb="10" eb="12">
      <t>ハンバイ</t>
    </rPh>
    <phoneticPr fontId="10"/>
  </si>
  <si>
    <t>保管・販売サイト
⇒最終消費者</t>
    <rPh sb="0" eb="2">
      <t>ホカン</t>
    </rPh>
    <rPh sb="3" eb="5">
      <t>ハンバイ</t>
    </rPh>
    <rPh sb="10" eb="12">
      <t>サイシュウ</t>
    </rPh>
    <rPh sb="12" eb="15">
      <t>ショウヒシャ</t>
    </rPh>
    <phoneticPr fontId="10"/>
  </si>
  <si>
    <t>インキ輸送量
生産者⇒納品先</t>
    <rPh sb="3" eb="6">
      <t>ユソウリョウ</t>
    </rPh>
    <rPh sb="7" eb="10">
      <t>セイサンシャ</t>
    </rPh>
    <rPh sb="11" eb="13">
      <t>ノウヒン</t>
    </rPh>
    <rPh sb="13" eb="14">
      <t>サキ</t>
    </rPh>
    <phoneticPr fontId="10"/>
  </si>
  <si>
    <t>被印刷物・インキ・糊・針金輸送重量</t>
    <rPh sb="0" eb="1">
      <t>ヒ</t>
    </rPh>
    <rPh sb="1" eb="4">
      <t>インサツブツ</t>
    </rPh>
    <rPh sb="9" eb="10">
      <t>ノリ</t>
    </rPh>
    <rPh sb="11" eb="13">
      <t>ハリガネ</t>
    </rPh>
    <rPh sb="13" eb="15">
      <t>ユソウ</t>
    </rPh>
    <rPh sb="15" eb="17">
      <t>ジュウリョウ</t>
    </rPh>
    <phoneticPr fontId="10"/>
  </si>
  <si>
    <t>Ｃ9</t>
    <phoneticPr fontId="10"/>
  </si>
  <si>
    <t>C1～C4の輸送重量の合計</t>
    <rPh sb="6" eb="8">
      <t>ユソウ</t>
    </rPh>
    <rPh sb="8" eb="10">
      <t>ジュウリョウ</t>
    </rPh>
    <rPh sb="11" eb="13">
      <t>ゴウケイ</t>
    </rPh>
    <phoneticPr fontId="10"/>
  </si>
  <si>
    <t>生産サイトから納品先への輸送</t>
    <rPh sb="0" eb="2">
      <t>セイサン</t>
    </rPh>
    <rPh sb="7" eb="9">
      <t>ノウヒン</t>
    </rPh>
    <rPh sb="9" eb="10">
      <t>サキ</t>
    </rPh>
    <rPh sb="12" eb="14">
      <t>ユソウ</t>
    </rPh>
    <phoneticPr fontId="10"/>
  </si>
  <si>
    <t>製品の輸送
納品先⇒最終消費者</t>
    <rPh sb="0" eb="2">
      <t>セイヒン</t>
    </rPh>
    <rPh sb="3" eb="5">
      <t>ユソウ</t>
    </rPh>
    <rPh sb="6" eb="8">
      <t>ノウヒン</t>
    </rPh>
    <rPh sb="8" eb="9">
      <t>サキ</t>
    </rPh>
    <rPh sb="10" eb="12">
      <t>サイシュウ</t>
    </rPh>
    <rPh sb="12" eb="15">
      <t>ショウヒシャ</t>
    </rPh>
    <phoneticPr fontId="10"/>
  </si>
  <si>
    <t>Ｃ10</t>
  </si>
  <si>
    <t>プラスチック製封筒重量</t>
    <rPh sb="6" eb="7">
      <t>セイ</t>
    </rPh>
    <rPh sb="7" eb="9">
      <t>フウトウ</t>
    </rPh>
    <rPh sb="9" eb="11">
      <t>ジュウリョウ</t>
    </rPh>
    <phoneticPr fontId="10"/>
  </si>
  <si>
    <t>プラスチック製封筒
輸送重量</t>
    <rPh sb="6" eb="7">
      <t>セイ</t>
    </rPh>
    <rPh sb="7" eb="9">
      <t>フウトウ</t>
    </rPh>
    <rPh sb="10" eb="12">
      <t>ユソウ</t>
    </rPh>
    <rPh sb="12" eb="14">
      <t>ジュウリョウ</t>
    </rPh>
    <phoneticPr fontId="10"/>
  </si>
  <si>
    <t>プラスチック製輸送資材の輸送
納品先⇒最終消費者</t>
    <rPh sb="6" eb="7">
      <t>セイ</t>
    </rPh>
    <rPh sb="7" eb="9">
      <t>ユソウ</t>
    </rPh>
    <rPh sb="9" eb="11">
      <t>シザイ</t>
    </rPh>
    <rPh sb="12" eb="14">
      <t>ユソウ</t>
    </rPh>
    <rPh sb="15" eb="17">
      <t>ノウヒン</t>
    </rPh>
    <rPh sb="17" eb="18">
      <t>サキ</t>
    </rPh>
    <rPh sb="19" eb="21">
      <t>サイシュウ</t>
    </rPh>
    <rPh sb="21" eb="24">
      <t>ショウヒシャ</t>
    </rPh>
    <phoneticPr fontId="10"/>
  </si>
  <si>
    <t>C7に同じ</t>
    <rPh sb="3" eb="4">
      <t>オナ</t>
    </rPh>
    <phoneticPr fontId="10"/>
  </si>
  <si>
    <t>非表示：1枚あたり重量</t>
    <rPh sb="0" eb="3">
      <t>ヒヒョウジ</t>
    </rPh>
    <rPh sb="5" eb="6">
      <t>マイ</t>
    </rPh>
    <rPh sb="9" eb="11">
      <t>ジュウリョウ</t>
    </rPh>
    <phoneticPr fontId="10"/>
  </si>
  <si>
    <t>非表示：部数（予備紙）※自動</t>
    <rPh sb="0" eb="3">
      <t>ヒヒョウジ</t>
    </rPh>
    <rPh sb="4" eb="6">
      <t>ブスウ</t>
    </rPh>
    <rPh sb="7" eb="9">
      <t>ヨビ</t>
    </rPh>
    <rPh sb="9" eb="10">
      <t>カミ</t>
    </rPh>
    <rPh sb="12" eb="14">
      <t>ジドウ</t>
    </rPh>
    <phoneticPr fontId="67"/>
  </si>
  <si>
    <t>非表示：（計算結果）印刷機電力</t>
    <rPh sb="0" eb="3">
      <t>ヒヒョウジ</t>
    </rPh>
    <rPh sb="5" eb="7">
      <t>ケイサン</t>
    </rPh>
    <rPh sb="7" eb="9">
      <t>ケッカ</t>
    </rPh>
    <rPh sb="10" eb="12">
      <t>インサツ</t>
    </rPh>
    <rPh sb="12" eb="13">
      <t>キ</t>
    </rPh>
    <rPh sb="13" eb="15">
      <t>デンリョク</t>
    </rPh>
    <phoneticPr fontId="10"/>
  </si>
  <si>
    <t>市内</t>
    <rPh sb="0" eb="2">
      <t>シナイ</t>
    </rPh>
    <phoneticPr fontId="10"/>
  </si>
  <si>
    <t>B-JP525032</t>
    <phoneticPr fontId="10"/>
  </si>
  <si>
    <t>流通輸送、生産者⇒納品先、納品先⇒最終消費者　で輸送を分け、それぞれに実測・市内・県内・地域内・全国を選択できるようにする。</t>
    <rPh sb="0" eb="2">
      <t>リュウツウ</t>
    </rPh>
    <rPh sb="2" eb="4">
      <t>ユソウ</t>
    </rPh>
    <rPh sb="5" eb="8">
      <t>セイサンシャ</t>
    </rPh>
    <rPh sb="9" eb="11">
      <t>ノウヒン</t>
    </rPh>
    <rPh sb="11" eb="12">
      <t>サキ</t>
    </rPh>
    <rPh sb="13" eb="15">
      <t>ノウヒン</t>
    </rPh>
    <rPh sb="15" eb="16">
      <t>サキ</t>
    </rPh>
    <rPh sb="17" eb="19">
      <t>サイシュウ</t>
    </rPh>
    <rPh sb="19" eb="22">
      <t>ショウヒシャ</t>
    </rPh>
    <rPh sb="24" eb="26">
      <t>ユソウ</t>
    </rPh>
    <rPh sb="27" eb="28">
      <t>ワ</t>
    </rPh>
    <phoneticPr fontId="10"/>
  </si>
  <si>
    <t>修正済み</t>
    <rPh sb="0" eb="2">
      <t>シュウセイ</t>
    </rPh>
    <rPh sb="2" eb="3">
      <t>ズ</t>
    </rPh>
    <phoneticPr fontId="10"/>
  </si>
  <si>
    <t>最終段階で説明を記載</t>
    <rPh sb="0" eb="2">
      <t>サイシュウ</t>
    </rPh>
    <rPh sb="2" eb="4">
      <t>ダンカイ</t>
    </rPh>
    <rPh sb="5" eb="7">
      <t>セツメイ</t>
    </rPh>
    <rPh sb="8" eb="10">
      <t>キサイ</t>
    </rPh>
    <phoneticPr fontId="10"/>
  </si>
  <si>
    <t>生産サイトから最終消費者への輸送</t>
    <rPh sb="0" eb="2">
      <t>セイサン</t>
    </rPh>
    <rPh sb="7" eb="9">
      <t>サイシュウ</t>
    </rPh>
    <rPh sb="9" eb="12">
      <t>ショウヒシャ</t>
    </rPh>
    <rPh sb="14" eb="16">
      <t>ユソウ</t>
    </rPh>
    <phoneticPr fontId="10"/>
  </si>
  <si>
    <t>輸送資材製造および輸送</t>
    <rPh sb="0" eb="2">
      <t>ユソウ</t>
    </rPh>
    <rPh sb="2" eb="4">
      <t>シザイ</t>
    </rPh>
    <rPh sb="4" eb="6">
      <t>セイゾウ</t>
    </rPh>
    <rPh sb="9" eb="11">
      <t>ユソウ</t>
    </rPh>
    <phoneticPr fontId="10"/>
  </si>
  <si>
    <t>製品輸送</t>
    <rPh sb="0" eb="2">
      <t>セイヒン</t>
    </rPh>
    <rPh sb="2" eb="4">
      <t>ユソウ</t>
    </rPh>
    <phoneticPr fontId="10"/>
  </si>
  <si>
    <t>生産サイトから納品先までの輸送</t>
    <rPh sb="0" eb="2">
      <t>セイサン</t>
    </rPh>
    <rPh sb="7" eb="9">
      <t>ノウヒン</t>
    </rPh>
    <rPh sb="9" eb="10">
      <t>サキ</t>
    </rPh>
    <rPh sb="13" eb="15">
      <t>ユソウ</t>
    </rPh>
    <phoneticPr fontId="10"/>
  </si>
  <si>
    <t>梱包資材の輸送と廃棄</t>
    <rPh sb="0" eb="2">
      <t>コンポウ</t>
    </rPh>
    <rPh sb="2" eb="4">
      <t>シザイ</t>
    </rPh>
    <rPh sb="5" eb="7">
      <t>ユソウ</t>
    </rPh>
    <rPh sb="8" eb="10">
      <t>ハイキ</t>
    </rPh>
    <phoneticPr fontId="10"/>
  </si>
  <si>
    <t>輸送資材輸送</t>
    <rPh sb="0" eb="2">
      <t>ユソウ</t>
    </rPh>
    <rPh sb="2" eb="4">
      <t>シザイ</t>
    </rPh>
    <rPh sb="4" eb="6">
      <t>ユソウ</t>
    </rPh>
    <phoneticPr fontId="10"/>
  </si>
  <si>
    <t>輸送資材製造</t>
    <rPh sb="0" eb="2">
      <t>ユソウ</t>
    </rPh>
    <rPh sb="2" eb="4">
      <t>シザイ</t>
    </rPh>
    <rPh sb="4" eb="6">
      <t>セイゾウ</t>
    </rPh>
    <phoneticPr fontId="10"/>
  </si>
  <si>
    <t>納品先から最終消費者への輸送</t>
    <rPh sb="0" eb="2">
      <t>ノウヒン</t>
    </rPh>
    <rPh sb="2" eb="3">
      <t>サキ</t>
    </rPh>
    <rPh sb="5" eb="7">
      <t>サイシュウ</t>
    </rPh>
    <rPh sb="7" eb="10">
      <t>ショウヒシャ</t>
    </rPh>
    <rPh sb="12" eb="14">
      <t>ユソウ</t>
    </rPh>
    <phoneticPr fontId="10"/>
  </si>
  <si>
    <t>製品輸送</t>
    <rPh sb="0" eb="2">
      <t>セイヒン</t>
    </rPh>
    <phoneticPr fontId="10"/>
  </si>
  <si>
    <t>紙の調達輸送距離</t>
    <rPh sb="0" eb="1">
      <t>カミ</t>
    </rPh>
    <rPh sb="2" eb="4">
      <t>チョウタツ</t>
    </rPh>
    <rPh sb="4" eb="6">
      <t>ユソウ</t>
    </rPh>
    <rPh sb="6" eb="8">
      <t>キョリ</t>
    </rPh>
    <phoneticPr fontId="10"/>
  </si>
  <si>
    <t>作業指示書</t>
    <phoneticPr fontId="10"/>
  </si>
  <si>
    <t>修正済み</t>
    <rPh sb="0" eb="2">
      <t>シュウセイ</t>
    </rPh>
    <rPh sb="2" eb="3">
      <t>ズ</t>
    </rPh>
    <phoneticPr fontId="10"/>
  </si>
  <si>
    <t xml:space="preserve">紙の調達輸送、実測　or　500㎞の2択で選べるようにする
</t>
    <rPh sb="0" eb="1">
      <t>カミ</t>
    </rPh>
    <rPh sb="2" eb="4">
      <t>チョウタツ</t>
    </rPh>
    <rPh sb="4" eb="6">
      <t>ユソウ</t>
    </rPh>
    <rPh sb="7" eb="9">
      <t>ジッソク</t>
    </rPh>
    <rPh sb="19" eb="20">
      <t>タク</t>
    </rPh>
    <rPh sb="21" eb="22">
      <t>エラ</t>
    </rPh>
    <phoneticPr fontId="10"/>
  </si>
  <si>
    <t xml:space="preserve">製本予備は、一般的に印刷予備に含まれているので計算の際適当な数値に配分しましたが、一考要します。
</t>
    <phoneticPr fontId="10"/>
  </si>
  <si>
    <t xml:space="preserve">サイト間輸送を行う重量は、本紙+製本予備のみでよいかも？
（現状算定式は印刷予備も含めている）
</t>
    <rPh sb="3" eb="4">
      <t>カン</t>
    </rPh>
    <rPh sb="4" eb="6">
      <t>ユソウ</t>
    </rPh>
    <rPh sb="7" eb="8">
      <t>オコナ</t>
    </rPh>
    <rPh sb="9" eb="11">
      <t>ジュウリョウ</t>
    </rPh>
    <phoneticPr fontId="10"/>
  </si>
  <si>
    <t xml:space="preserve">コート層、情報用紙を選ぶと自動的に計上される。
紙質に合わせて計上するようにした方がよいのではないか。
</t>
    <rPh sb="3" eb="4">
      <t>ソウ</t>
    </rPh>
    <rPh sb="5" eb="7">
      <t>ジョウホウ</t>
    </rPh>
    <rPh sb="7" eb="9">
      <t>ヨウシ</t>
    </rPh>
    <rPh sb="10" eb="11">
      <t>エラ</t>
    </rPh>
    <rPh sb="13" eb="16">
      <t>ジドウテキ</t>
    </rPh>
    <rPh sb="17" eb="19">
      <t>ケイジョウ</t>
    </rPh>
    <rPh sb="24" eb="25">
      <t>カミ</t>
    </rPh>
    <rPh sb="25" eb="26">
      <t>シツ</t>
    </rPh>
    <rPh sb="27" eb="28">
      <t>ア</t>
    </rPh>
    <rPh sb="31" eb="33">
      <t>ケイジョウ</t>
    </rPh>
    <rPh sb="40" eb="41">
      <t>ホウ</t>
    </rPh>
    <phoneticPr fontId="10"/>
  </si>
  <si>
    <t>輸送情報（選択してください）</t>
    <rPh sb="0" eb="2">
      <t>ユソウ</t>
    </rPh>
    <rPh sb="2" eb="4">
      <t>ジョウホウ</t>
    </rPh>
    <rPh sb="5" eb="7">
      <t>センタク</t>
    </rPh>
    <phoneticPr fontId="10"/>
  </si>
  <si>
    <t>大きさ（タテ×ヨコ）
※非定型の場合は手入力</t>
    <rPh sb="0" eb="1">
      <t>オオ</t>
    </rPh>
    <rPh sb="12" eb="15">
      <t>ヒテイケイ</t>
    </rPh>
    <rPh sb="16" eb="18">
      <t>バアイ</t>
    </rPh>
    <rPh sb="19" eb="20">
      <t>テ</t>
    </rPh>
    <rPh sb="20" eb="22">
      <t>ニュウリョク</t>
    </rPh>
    <phoneticPr fontId="10"/>
  </si>
  <si>
    <t>管理番号等</t>
    <rPh sb="0" eb="2">
      <t>カンリ</t>
    </rPh>
    <rPh sb="2" eb="4">
      <t>バンゴウ</t>
    </rPh>
    <rPh sb="4" eb="5">
      <t>ナド</t>
    </rPh>
    <phoneticPr fontId="10"/>
  </si>
  <si>
    <t xml:space="preserve">エビデンス欄に管理番号等の記載欄を追加
</t>
    <rPh sb="5" eb="6">
      <t>ラン</t>
    </rPh>
    <rPh sb="7" eb="9">
      <t>カンリ</t>
    </rPh>
    <rPh sb="9" eb="11">
      <t>バンゴウ</t>
    </rPh>
    <rPh sb="11" eb="12">
      <t>ナド</t>
    </rPh>
    <rPh sb="13" eb="15">
      <t>キサイ</t>
    </rPh>
    <rPh sb="15" eb="16">
      <t>ラン</t>
    </rPh>
    <rPh sb="17" eb="19">
      <t>ツイカ</t>
    </rPh>
    <phoneticPr fontId="10"/>
  </si>
  <si>
    <t>入力シート</t>
    <rPh sb="0" eb="2">
      <t>ニュウリョク</t>
    </rPh>
    <phoneticPr fontId="10"/>
  </si>
  <si>
    <t>オフセットだと紙の枚数を入れる欄に㎡で記載するようにする。
（原単位名・単位を「㎡・色」に修正）</t>
    <rPh sb="36" eb="38">
      <t>タンイ</t>
    </rPh>
    <rPh sb="42" eb="43">
      <t>イロ</t>
    </rPh>
    <rPh sb="45" eb="47">
      <t>シュウセイ</t>
    </rPh>
    <phoneticPr fontId="10"/>
  </si>
  <si>
    <t xml:space="preserve">PCRシナリオより、なし＝0㎞、市内=50㎞、県内および不明＝100㎞とした。
</t>
    <rPh sb="16" eb="18">
      <t>シナイ</t>
    </rPh>
    <rPh sb="23" eb="25">
      <t>ケンナイ</t>
    </rPh>
    <rPh sb="28" eb="30">
      <t>フメイ</t>
    </rPh>
    <phoneticPr fontId="10"/>
  </si>
  <si>
    <r>
      <t>ＰＯＤの場合、ＴＥＣ値は試験規格がＡ4の値となっている。1枚あたり電力＝Ａ4サイズ1頁あたりの電力となるため、換算が必要。
（Ａ3両面だと×4にする必要がある）</t>
    </r>
    <r>
      <rPr>
        <sz val="11"/>
        <color theme="1"/>
        <rFont val="ＭＳ Ｐゴシック"/>
        <family val="2"/>
        <charset val="128"/>
        <scheme val="minor"/>
      </rPr>
      <t xml:space="preserve">
</t>
    </r>
    <rPh sb="4" eb="6">
      <t>バアイ</t>
    </rPh>
    <rPh sb="10" eb="11">
      <t>アタイ</t>
    </rPh>
    <rPh sb="12" eb="14">
      <t>シケン</t>
    </rPh>
    <rPh sb="14" eb="16">
      <t>キカク</t>
    </rPh>
    <rPh sb="20" eb="21">
      <t>アタイ</t>
    </rPh>
    <rPh sb="29" eb="30">
      <t>マイ</t>
    </rPh>
    <rPh sb="33" eb="35">
      <t>デンリョク</t>
    </rPh>
    <rPh sb="42" eb="43">
      <t>ページ</t>
    </rPh>
    <rPh sb="47" eb="49">
      <t>デンリョク</t>
    </rPh>
    <rPh sb="55" eb="57">
      <t>カンサン</t>
    </rPh>
    <rPh sb="58" eb="60">
      <t>ヒツヨウ</t>
    </rPh>
    <rPh sb="65" eb="67">
      <t>リョウメン</t>
    </rPh>
    <rPh sb="74" eb="76">
      <t>ヒツヨウ</t>
    </rPh>
    <phoneticPr fontId="10"/>
  </si>
  <si>
    <t xml:space="preserve">流通段階、生産サイト⇒最終消費者へ直接送付するときのシナリオがない。
</t>
    <rPh sb="0" eb="2">
      <t>リュウツウ</t>
    </rPh>
    <rPh sb="2" eb="4">
      <t>ダンカイ</t>
    </rPh>
    <rPh sb="5" eb="7">
      <t>セイサン</t>
    </rPh>
    <rPh sb="11" eb="13">
      <t>サイシュウ</t>
    </rPh>
    <rPh sb="13" eb="16">
      <t>ショウヒシャ</t>
    </rPh>
    <rPh sb="17" eb="19">
      <t>チョクセツ</t>
    </rPh>
    <rPh sb="19" eb="21">
      <t>ソウフ</t>
    </rPh>
    <phoneticPr fontId="10"/>
  </si>
  <si>
    <t>⇒最終消費者の場合は、⇒納品先　の項に入れるよう説明を追加、</t>
    <rPh sb="1" eb="3">
      <t>サイシュウ</t>
    </rPh>
    <rPh sb="3" eb="6">
      <t>ショウヒシャ</t>
    </rPh>
    <rPh sb="7" eb="9">
      <t>バアイ</t>
    </rPh>
    <rPh sb="12" eb="14">
      <t>ノウヒン</t>
    </rPh>
    <rPh sb="14" eb="15">
      <t>サキ</t>
    </rPh>
    <rPh sb="17" eb="18">
      <t>コウ</t>
    </rPh>
    <rPh sb="19" eb="20">
      <t>イ</t>
    </rPh>
    <rPh sb="24" eb="26">
      <t>セツメイ</t>
    </rPh>
    <rPh sb="27" eb="29">
      <t>ツイカ</t>
    </rPh>
    <phoneticPr fontId="10"/>
  </si>
  <si>
    <t xml:space="preserve">２）データの根拠Ｅ104、106、115
　廃棄・リサイクルの原単位にはシナリオによる分配は含まれているので、
　ここで廃棄-焼却処理率として55％を乗じると過小評価になってしまいます。
</t>
    <phoneticPr fontId="10"/>
  </si>
  <si>
    <t>ａａ</t>
    <phoneticPr fontId="10"/>
  </si>
  <si>
    <t>根拠シートの説明を追加。
参照番号Ｂ18で本紙重量と製品になった重量をそれぞれ算出し、本紙-製品重量＝断裁ロスを算出している。　
被印刷物重量には製品になった重量を引用している。</t>
    <rPh sb="0" eb="2">
      <t>コンキョ</t>
    </rPh>
    <rPh sb="6" eb="8">
      <t>セツメイ</t>
    </rPh>
    <rPh sb="9" eb="11">
      <t>ツイカ</t>
    </rPh>
    <rPh sb="13" eb="15">
      <t>サンショウ</t>
    </rPh>
    <rPh sb="15" eb="17">
      <t>バンゴウ</t>
    </rPh>
    <rPh sb="39" eb="41">
      <t>サンシュツ</t>
    </rPh>
    <rPh sb="43" eb="45">
      <t>ホンシ</t>
    </rPh>
    <rPh sb="46" eb="48">
      <t>セイヒン</t>
    </rPh>
    <rPh sb="48" eb="50">
      <t>ジュウリョウ</t>
    </rPh>
    <rPh sb="56" eb="58">
      <t>サンシュツ</t>
    </rPh>
    <rPh sb="65" eb="66">
      <t>ヒ</t>
    </rPh>
    <rPh sb="66" eb="69">
      <t>インサツブツ</t>
    </rPh>
    <rPh sb="69" eb="71">
      <t>ジュウリョウ</t>
    </rPh>
    <rPh sb="73" eb="75">
      <t>セイヒン</t>
    </rPh>
    <rPh sb="79" eb="81">
      <t>ジュウリョウ</t>
    </rPh>
    <rPh sb="82" eb="84">
      <t>インヨウ</t>
    </rPh>
    <phoneticPr fontId="10"/>
  </si>
  <si>
    <t>データ根拠</t>
    <rPh sb="3" eb="5">
      <t>コンキョ</t>
    </rPh>
    <phoneticPr fontId="10"/>
  </si>
  <si>
    <t>kg</t>
    <phoneticPr fontId="10"/>
  </si>
  <si>
    <t>頁</t>
    <rPh sb="0" eb="1">
      <t>ページ</t>
    </rPh>
    <phoneticPr fontId="10"/>
  </si>
  <si>
    <t>㎏</t>
    <phoneticPr fontId="10"/>
  </si>
  <si>
    <t>1）データの根拠Ｅ70（被印刷物重量）
　この計算が用紙ロスの和になっているのでは？
　正しくは「本紙重量の和」になると思います。</t>
    <phoneticPr fontId="10"/>
  </si>
  <si>
    <t>水なしのコート層廃棄原単位を使えるようにする？
（その場合、紙の種類は2回選ぶことになるので混乱するかも？）</t>
    <rPh sb="0" eb="1">
      <t>ミズ</t>
    </rPh>
    <rPh sb="7" eb="8">
      <t>ソウ</t>
    </rPh>
    <rPh sb="8" eb="10">
      <t>ハイキ</t>
    </rPh>
    <rPh sb="10" eb="13">
      <t>ゲンタンイ</t>
    </rPh>
    <rPh sb="14" eb="15">
      <t>ツカ</t>
    </rPh>
    <rPh sb="27" eb="29">
      <t>バアイ</t>
    </rPh>
    <rPh sb="30" eb="31">
      <t>カミ</t>
    </rPh>
    <rPh sb="32" eb="34">
      <t>シュルイ</t>
    </rPh>
    <rPh sb="36" eb="37">
      <t>カイ</t>
    </rPh>
    <rPh sb="37" eb="38">
      <t>エラ</t>
    </rPh>
    <rPh sb="46" eb="48">
      <t>コンラン</t>
    </rPh>
    <phoneticPr fontId="10"/>
  </si>
  <si>
    <t>入力シート
データの根拠</t>
    <rPh sb="0" eb="2">
      <t>ニュウリョク</t>
    </rPh>
    <rPh sb="10" eb="12">
      <t>コンキョ</t>
    </rPh>
    <phoneticPr fontId="10"/>
  </si>
  <si>
    <t>周辺機器の定格電力</t>
    <rPh sb="0" eb="2">
      <t>シュウヘン</t>
    </rPh>
    <rPh sb="2" eb="4">
      <t>キキ</t>
    </rPh>
    <rPh sb="5" eb="7">
      <t>テイカク</t>
    </rPh>
    <rPh sb="7" eb="9">
      <t>デンリョク</t>
    </rPh>
    <phoneticPr fontId="10"/>
  </si>
  <si>
    <t>PODの場合：周辺機器定格電力</t>
    <rPh sb="4" eb="6">
      <t>バアイ</t>
    </rPh>
    <rPh sb="7" eb="9">
      <t>シュウヘン</t>
    </rPh>
    <rPh sb="9" eb="11">
      <t>キキ</t>
    </rPh>
    <rPh sb="11" eb="13">
      <t>テイカク</t>
    </rPh>
    <rPh sb="13" eb="15">
      <t>デンリョク</t>
    </rPh>
    <phoneticPr fontId="10"/>
  </si>
  <si>
    <t xml:space="preserve">PODの周辺機器は、フィニッシャー、コントローラだけに限らないので、項目をわけずに「周辺機器定格電力」とした方が良い。
</t>
    <rPh sb="4" eb="6">
      <t>シュウヘン</t>
    </rPh>
    <rPh sb="6" eb="8">
      <t>キキ</t>
    </rPh>
    <rPh sb="27" eb="28">
      <t>カギ</t>
    </rPh>
    <rPh sb="34" eb="36">
      <t>コウモク</t>
    </rPh>
    <rPh sb="42" eb="44">
      <t>シュウヘン</t>
    </rPh>
    <rPh sb="44" eb="46">
      <t>キキ</t>
    </rPh>
    <rPh sb="46" eb="48">
      <t>テイカク</t>
    </rPh>
    <rPh sb="48" eb="50">
      <t>デンリョク</t>
    </rPh>
    <rPh sb="54" eb="55">
      <t>ホウ</t>
    </rPh>
    <rPh sb="56" eb="57">
      <t>ヨ</t>
    </rPh>
    <phoneticPr fontId="10"/>
  </si>
  <si>
    <t xml:space="preserve">ＰＯＤの場合、印刷予備+製本予備という概念が薄い。
考慮するのであれば、ページ数と紙の使用枚数について計算式で考慮する必要がある。（印刷用紙全体の枚数を×4して、Ａ4●ページ分にする、等）
</t>
    <rPh sb="4" eb="6">
      <t>バアイ</t>
    </rPh>
    <rPh sb="7" eb="9">
      <t>インサツ</t>
    </rPh>
    <rPh sb="9" eb="11">
      <t>ヨビ</t>
    </rPh>
    <rPh sb="12" eb="14">
      <t>セイホン</t>
    </rPh>
    <rPh sb="14" eb="16">
      <t>ヨビ</t>
    </rPh>
    <rPh sb="19" eb="21">
      <t>ガイネン</t>
    </rPh>
    <rPh sb="22" eb="23">
      <t>ウス</t>
    </rPh>
    <rPh sb="26" eb="28">
      <t>コウリョ</t>
    </rPh>
    <rPh sb="39" eb="40">
      <t>スウ</t>
    </rPh>
    <rPh sb="41" eb="42">
      <t>カミ</t>
    </rPh>
    <rPh sb="43" eb="45">
      <t>シヨウ</t>
    </rPh>
    <rPh sb="45" eb="47">
      <t>マイスウ</t>
    </rPh>
    <rPh sb="51" eb="53">
      <t>ケイサン</t>
    </rPh>
    <rPh sb="53" eb="54">
      <t>シキ</t>
    </rPh>
    <rPh sb="55" eb="57">
      <t>コウリョ</t>
    </rPh>
    <rPh sb="59" eb="61">
      <t>ヒツヨウ</t>
    </rPh>
    <rPh sb="66" eb="68">
      <t>インサツ</t>
    </rPh>
    <rPh sb="68" eb="70">
      <t>ヨウシ</t>
    </rPh>
    <rPh sb="70" eb="72">
      <t>ゼンタイ</t>
    </rPh>
    <rPh sb="73" eb="75">
      <t>マイスウ</t>
    </rPh>
    <rPh sb="87" eb="88">
      <t>ブン</t>
    </rPh>
    <rPh sb="92" eb="93">
      <t>ナド</t>
    </rPh>
    <phoneticPr fontId="10"/>
  </si>
  <si>
    <t>ＰＯＤで使う紙サイズのパターン要確認。それに応じてＡ4換算時の係数を検討すればよい？</t>
    <rPh sb="4" eb="5">
      <t>ツカ</t>
    </rPh>
    <rPh sb="6" eb="7">
      <t>カミ</t>
    </rPh>
    <rPh sb="15" eb="16">
      <t>ヨウ</t>
    </rPh>
    <rPh sb="16" eb="18">
      <t>カクニン</t>
    </rPh>
    <rPh sb="22" eb="23">
      <t>オウ</t>
    </rPh>
    <rPh sb="27" eb="29">
      <t>カンサン</t>
    </rPh>
    <rPh sb="29" eb="30">
      <t>ジ</t>
    </rPh>
    <rPh sb="31" eb="33">
      <t>ケイスウ</t>
    </rPh>
    <rPh sb="34" eb="36">
      <t>ケントウ</t>
    </rPh>
    <phoneticPr fontId="10"/>
  </si>
  <si>
    <t>入力シート</t>
    <rPh sb="0" eb="2">
      <t>ニュウリョク</t>
    </rPh>
    <phoneticPr fontId="10"/>
  </si>
  <si>
    <t xml:space="preserve">ＰＯＤの紙サイズ
A3ノビのサイズは定型とは限らない。（リコーで使っているのは0.315×0.467）、他にＳＲＡ３サイズ（0.320×0.450）等も使用する。
紙サイズは手入力できるようにした方がよい。
</t>
    <rPh sb="4" eb="5">
      <t>カミ</t>
    </rPh>
    <rPh sb="18" eb="20">
      <t>テイケイ</t>
    </rPh>
    <rPh sb="22" eb="23">
      <t>カギ</t>
    </rPh>
    <rPh sb="32" eb="33">
      <t>ツカ</t>
    </rPh>
    <rPh sb="52" eb="53">
      <t>ホカ</t>
    </rPh>
    <rPh sb="74" eb="75">
      <t>ナド</t>
    </rPh>
    <rPh sb="76" eb="78">
      <t>シヨウ</t>
    </rPh>
    <rPh sb="82" eb="83">
      <t>カミ</t>
    </rPh>
    <rPh sb="87" eb="88">
      <t>テ</t>
    </rPh>
    <rPh sb="88" eb="90">
      <t>ニュウリョク</t>
    </rPh>
    <rPh sb="98" eb="99">
      <t>ホウ</t>
    </rPh>
    <phoneticPr fontId="10"/>
  </si>
  <si>
    <t>データ根拠
原単位シート</t>
    <rPh sb="3" eb="5">
      <t>コンキョ</t>
    </rPh>
    <rPh sb="6" eb="9">
      <t>ゲンタンイ</t>
    </rPh>
    <phoneticPr fontId="10"/>
  </si>
  <si>
    <t xml:space="preserve">入力シートは生産サイト⇒納品先までが手入力できるようになったが、計算結果に反映されていない（原単位シートで最終消費者までは各距離ごとの項目に分かれているが、納品先までは各距離ごとに分かれておらず、最終消費者までのセルを参照しているため。）
</t>
    <rPh sb="0" eb="2">
      <t>ニュウリョク</t>
    </rPh>
    <rPh sb="6" eb="8">
      <t>セイサン</t>
    </rPh>
    <rPh sb="12" eb="14">
      <t>ノウヒン</t>
    </rPh>
    <rPh sb="14" eb="15">
      <t>サキ</t>
    </rPh>
    <rPh sb="18" eb="19">
      <t>テ</t>
    </rPh>
    <rPh sb="19" eb="21">
      <t>ニュウリョク</t>
    </rPh>
    <rPh sb="32" eb="34">
      <t>ケイサン</t>
    </rPh>
    <rPh sb="34" eb="36">
      <t>ケッカ</t>
    </rPh>
    <rPh sb="37" eb="39">
      <t>ハンエイ</t>
    </rPh>
    <rPh sb="46" eb="49">
      <t>ゲンタンイ</t>
    </rPh>
    <phoneticPr fontId="10"/>
  </si>
  <si>
    <t xml:space="preserve">・市内の距離
”原単位一覧”シートのI74は"50"kmでは。
</t>
    <phoneticPr fontId="10"/>
  </si>
  <si>
    <t>県間</t>
    <rPh sb="0" eb="1">
      <t>ケン</t>
    </rPh>
    <rPh sb="1" eb="2">
      <t>アイダ</t>
    </rPh>
    <phoneticPr fontId="10"/>
  </si>
  <si>
    <t xml:space="preserve">　　生産段階、本紙ロスの計算式は、「製品になった面積（ページ数×完成品サイズ/2）÷1枚あたり紙の面積×本紙重量」ではなく、
　　「用紙1枚あたり製品になった面積（完成品面積×部数×ページ数/2÷本紙枚数）÷用紙面積×本紙重量」と思います。
</t>
    <rPh sb="2" eb="4">
      <t>セイサン</t>
    </rPh>
    <rPh sb="4" eb="6">
      <t>ダンカイ</t>
    </rPh>
    <rPh sb="7" eb="9">
      <t>ホンシ</t>
    </rPh>
    <rPh sb="12" eb="14">
      <t>ケイサン</t>
    </rPh>
    <rPh sb="14" eb="15">
      <t>シキ</t>
    </rPh>
    <phoneticPr fontId="10"/>
  </si>
  <si>
    <t>データ根拠</t>
    <rPh sb="3" eb="5">
      <t>コンキョ</t>
    </rPh>
    <phoneticPr fontId="10"/>
  </si>
  <si>
    <t>修正済み</t>
    <rPh sb="0" eb="2">
      <t>シュウセイ</t>
    </rPh>
    <rPh sb="2" eb="3">
      <t>ズ</t>
    </rPh>
    <phoneticPr fontId="10"/>
  </si>
  <si>
    <t xml:space="preserve">・製品重量
”(5)データの根拠”シートのE58～E62（製品になった紙の重さ）の式が間違っているのでは。(製品になった面積(ページ数×完成品サイズ/2))x(部数)x(連量/1000)/(用紙面積）　でいいのでは。
</t>
    <rPh sb="29" eb="31">
      <t>セイヒン</t>
    </rPh>
    <rPh sb="35" eb="36">
      <t>カミ</t>
    </rPh>
    <rPh sb="37" eb="38">
      <t>オモ</t>
    </rPh>
    <phoneticPr fontId="10"/>
  </si>
  <si>
    <t>原単位シート</t>
    <rPh sb="0" eb="3">
      <t>ゲンタンイ</t>
    </rPh>
    <phoneticPr fontId="10"/>
  </si>
  <si>
    <t xml:space="preserve">個別製品情報入力シート内
印刷機電力算定表参照
</t>
    <rPh sb="0" eb="2">
      <t>コベツ</t>
    </rPh>
    <rPh sb="2" eb="4">
      <t>セイヒン</t>
    </rPh>
    <rPh sb="4" eb="6">
      <t>ジョウホウ</t>
    </rPh>
    <rPh sb="6" eb="8">
      <t>ニュウリョク</t>
    </rPh>
    <rPh sb="11" eb="12">
      <t>ナイ</t>
    </rPh>
    <rPh sb="21" eb="23">
      <t>サンショウ</t>
    </rPh>
    <phoneticPr fontId="10"/>
  </si>
  <si>
    <t>PCRシナリオ、全国1,000㎞、県間500㎞、県内100㎞、市内50㎞</t>
  </si>
  <si>
    <t>PCRシナリオ、全国1,000㎞、県間500㎞、県内100㎞、市内50㎞</t>
    <rPh sb="8" eb="10">
      <t>ゼンコク</t>
    </rPh>
    <rPh sb="17" eb="19">
      <t>ケンカン</t>
    </rPh>
    <rPh sb="19" eb="20">
      <t>イキナイ</t>
    </rPh>
    <rPh sb="24" eb="26">
      <t>ケンナイ</t>
    </rPh>
    <rPh sb="31" eb="33">
      <t>シナイ</t>
    </rPh>
    <phoneticPr fontId="10"/>
  </si>
  <si>
    <t>PCRシナリオ、全国1,000㎞、県間500㎞、県内100㎞、市内50㎞</t>
    <rPh sb="8" eb="10">
      <t>ゼンコク</t>
    </rPh>
    <rPh sb="24" eb="26">
      <t>ケンナイ</t>
    </rPh>
    <rPh sb="31" eb="33">
      <t>シナイ</t>
    </rPh>
    <phoneticPr fontId="10"/>
  </si>
  <si>
    <t xml:space="preserve">もっと単純化・原単位化できる？要検討
次回11/7（月）WGで改訂検討を実施。
日印機工のデータを基に、共同印刷を含め検討、内容が固まったら、水なし印刷の企業にも検算で参加していただく。
</t>
    <rPh sb="3" eb="6">
      <t>タンジュンカ</t>
    </rPh>
    <rPh sb="7" eb="10">
      <t>ゲンタンイ</t>
    </rPh>
    <rPh sb="10" eb="11">
      <t>カ</t>
    </rPh>
    <rPh sb="15" eb="18">
      <t>ヨウケントウ</t>
    </rPh>
    <rPh sb="19" eb="21">
      <t>ジカイ</t>
    </rPh>
    <rPh sb="26" eb="27">
      <t>ゲツ</t>
    </rPh>
    <rPh sb="31" eb="33">
      <t>カイテイ</t>
    </rPh>
    <rPh sb="33" eb="35">
      <t>ケントウ</t>
    </rPh>
    <rPh sb="36" eb="38">
      <t>ジッシ</t>
    </rPh>
    <rPh sb="40" eb="41">
      <t>ニチ</t>
    </rPh>
    <rPh sb="41" eb="42">
      <t>イン</t>
    </rPh>
    <rPh sb="42" eb="43">
      <t>キ</t>
    </rPh>
    <rPh sb="43" eb="44">
      <t>コウ</t>
    </rPh>
    <rPh sb="49" eb="50">
      <t>モト</t>
    </rPh>
    <rPh sb="52" eb="54">
      <t>キョウドウ</t>
    </rPh>
    <rPh sb="54" eb="56">
      <t>インサツ</t>
    </rPh>
    <rPh sb="57" eb="58">
      <t>フク</t>
    </rPh>
    <rPh sb="59" eb="61">
      <t>ケントウ</t>
    </rPh>
    <rPh sb="62" eb="64">
      <t>ナイヨウ</t>
    </rPh>
    <rPh sb="65" eb="66">
      <t>カタ</t>
    </rPh>
    <rPh sb="71" eb="72">
      <t>ミズ</t>
    </rPh>
    <rPh sb="74" eb="76">
      <t>インサツ</t>
    </rPh>
    <rPh sb="77" eb="79">
      <t>キギョウ</t>
    </rPh>
    <rPh sb="81" eb="83">
      <t>ケンザン</t>
    </rPh>
    <rPh sb="84" eb="86">
      <t>サンカ</t>
    </rPh>
    <phoneticPr fontId="10"/>
  </si>
  <si>
    <t xml:space="preserve">原単位化を検討。　（現在のPCRでは算定できない）
水なしの場合は、使う紙のサイズに対して、被膜厚み2μm、比重1g/㎥、面積比率100％で計算する。
</t>
    <rPh sb="0" eb="3">
      <t>ゲンタンイ</t>
    </rPh>
    <rPh sb="3" eb="4">
      <t>カ</t>
    </rPh>
    <rPh sb="5" eb="7">
      <t>ケントウ</t>
    </rPh>
    <rPh sb="10" eb="12">
      <t>ゲンザイ</t>
    </rPh>
    <rPh sb="18" eb="20">
      <t>サンテイ</t>
    </rPh>
    <rPh sb="26" eb="27">
      <t>ミズ</t>
    </rPh>
    <rPh sb="30" eb="32">
      <t>バアイ</t>
    </rPh>
    <rPh sb="34" eb="35">
      <t>ツカ</t>
    </rPh>
    <rPh sb="36" eb="37">
      <t>カミ</t>
    </rPh>
    <rPh sb="42" eb="43">
      <t>タイ</t>
    </rPh>
    <rPh sb="46" eb="48">
      <t>ヒマク</t>
    </rPh>
    <rPh sb="48" eb="49">
      <t>アツ</t>
    </rPh>
    <rPh sb="54" eb="56">
      <t>ヒジュウ</t>
    </rPh>
    <rPh sb="61" eb="63">
      <t>メンセキ</t>
    </rPh>
    <rPh sb="63" eb="65">
      <t>ヒリツ</t>
    </rPh>
    <rPh sb="70" eb="72">
      <t>ケイサン</t>
    </rPh>
    <phoneticPr fontId="10"/>
  </si>
  <si>
    <t>番号</t>
    <rPh sb="0" eb="2">
      <t>バンゴウ</t>
    </rPh>
    <phoneticPr fontId="10"/>
  </si>
  <si>
    <t>根拠資料名</t>
    <rPh sb="0" eb="2">
      <t>コンキョ</t>
    </rPh>
    <rPh sb="2" eb="4">
      <t>シリョウ</t>
    </rPh>
    <rPh sb="4" eb="5">
      <t>メイ</t>
    </rPh>
    <phoneticPr fontId="10"/>
  </si>
  <si>
    <t>201611/17</t>
    <phoneticPr fontId="10"/>
  </si>
  <si>
    <t>コート層廃棄の原単位は55％焼却を加味したものとなっているため、用紙重量のみを計上すればOK。修正済み。</t>
    <rPh sb="3" eb="4">
      <t>ソウ</t>
    </rPh>
    <rPh sb="4" eb="6">
      <t>ハイキ</t>
    </rPh>
    <rPh sb="7" eb="10">
      <t>ゲンタンイ</t>
    </rPh>
    <rPh sb="14" eb="16">
      <t>ショウキャク</t>
    </rPh>
    <rPh sb="17" eb="19">
      <t>カミ</t>
    </rPh>
    <rPh sb="32" eb="34">
      <t>ヨウシ</t>
    </rPh>
    <rPh sb="34" eb="36">
      <t>ジュウリョウ</t>
    </rPh>
    <rPh sb="39" eb="41">
      <t>ケイジョウ</t>
    </rPh>
    <rPh sb="47" eb="49">
      <t>シュウセイ</t>
    </rPh>
    <rPh sb="49" eb="50">
      <t>ズ</t>
    </rPh>
    <phoneticPr fontId="10"/>
  </si>
  <si>
    <t>輪転の場合の紙の投入量の入力方法は？オフセットだと紙の枚数を入れる欄に㎡で記載する？</t>
    <rPh sb="0" eb="2">
      <t>リンテン</t>
    </rPh>
    <rPh sb="3" eb="5">
      <t>バアイ</t>
    </rPh>
    <rPh sb="6" eb="7">
      <t>カミ</t>
    </rPh>
    <rPh sb="8" eb="10">
      <t>トウニュウ</t>
    </rPh>
    <rPh sb="10" eb="11">
      <t>リョウ</t>
    </rPh>
    <rPh sb="12" eb="14">
      <t>ニュウリョク</t>
    </rPh>
    <rPh sb="14" eb="16">
      <t>ホウホウ</t>
    </rPh>
    <phoneticPr fontId="10"/>
  </si>
  <si>
    <t xml:space="preserve">
重量は「連量」でOK。（修正しない）
</t>
    <rPh sb="1" eb="3">
      <t>ジュウリョウ</t>
    </rPh>
    <rPh sb="5" eb="6">
      <t>レン</t>
    </rPh>
    <rPh sb="6" eb="7">
      <t>リョウ</t>
    </rPh>
    <rPh sb="13" eb="15">
      <t>シュウセイ</t>
    </rPh>
    <phoneticPr fontId="10"/>
  </si>
  <si>
    <t>輪転の場合、その他印刷材料の原単位がkg-CO2/㎡・色になっている。
㎡はどうやって出せばよい？</t>
    <rPh sb="0" eb="2">
      <t>リンテン</t>
    </rPh>
    <rPh sb="3" eb="5">
      <t>バアイ</t>
    </rPh>
    <rPh sb="8" eb="9">
      <t>タ</t>
    </rPh>
    <rPh sb="9" eb="11">
      <t>インサツ</t>
    </rPh>
    <rPh sb="11" eb="13">
      <t>ザイリョウ</t>
    </rPh>
    <rPh sb="14" eb="17">
      <t>ゲンタンイ</t>
    </rPh>
    <rPh sb="27" eb="28">
      <t>イロ</t>
    </rPh>
    <rPh sb="43" eb="44">
      <t>ダ</t>
    </rPh>
    <phoneticPr fontId="10"/>
  </si>
  <si>
    <t>データ根拠</t>
    <rPh sb="3" eb="5">
      <t>コンキョ</t>
    </rPh>
    <phoneticPr fontId="10"/>
  </si>
  <si>
    <t>用紙・色情報
（購入時ではなく、印刷機に投入する際のサイズ、重量・枚数で記載してください。）</t>
    <rPh sb="0" eb="2">
      <t>ヨウシ</t>
    </rPh>
    <rPh sb="3" eb="4">
      <t>イロ</t>
    </rPh>
    <rPh sb="4" eb="6">
      <t>ジョウホウ</t>
    </rPh>
    <rPh sb="8" eb="10">
      <t>コウニュウ</t>
    </rPh>
    <rPh sb="10" eb="11">
      <t>ジ</t>
    </rPh>
    <rPh sb="16" eb="18">
      <t>インサツ</t>
    </rPh>
    <rPh sb="18" eb="19">
      <t>キ</t>
    </rPh>
    <rPh sb="20" eb="22">
      <t>トウニュウ</t>
    </rPh>
    <rPh sb="24" eb="25">
      <t>サイ</t>
    </rPh>
    <rPh sb="30" eb="32">
      <t>ジュウリョウ</t>
    </rPh>
    <rPh sb="33" eb="35">
      <t>マイスウ</t>
    </rPh>
    <rPh sb="36" eb="38">
      <t>キサイ</t>
    </rPh>
    <phoneticPr fontId="67"/>
  </si>
  <si>
    <t>製品ページ数</t>
    <rPh sb="0" eb="2">
      <t>セイヒン</t>
    </rPh>
    <rPh sb="5" eb="6">
      <t>スウ</t>
    </rPh>
    <phoneticPr fontId="10"/>
  </si>
  <si>
    <t>ページ</t>
    <phoneticPr fontId="10"/>
  </si>
  <si>
    <t xml:space="preserve">製品重量を計算するために必要なので残す。
（ここにはどういうページ数を入れてほしいかの補足説明がいるかも。わかりやすい説明文について要検討）
⇒「面付け数」とする。仕上がりのページ数とは連動しない入力とする。
</t>
    <rPh sb="0" eb="2">
      <t>セイヒン</t>
    </rPh>
    <rPh sb="2" eb="4">
      <t>ジュウリョウ</t>
    </rPh>
    <rPh sb="5" eb="7">
      <t>ケイサン</t>
    </rPh>
    <rPh sb="12" eb="14">
      <t>ヒツヨウ</t>
    </rPh>
    <rPh sb="17" eb="18">
      <t>ノコ</t>
    </rPh>
    <rPh sb="33" eb="34">
      <t>スウ</t>
    </rPh>
    <rPh sb="35" eb="36">
      <t>イ</t>
    </rPh>
    <rPh sb="43" eb="45">
      <t>ホソク</t>
    </rPh>
    <rPh sb="45" eb="47">
      <t>セツメイ</t>
    </rPh>
    <rPh sb="59" eb="61">
      <t>セツメイ</t>
    </rPh>
    <rPh sb="61" eb="62">
      <t>ブン</t>
    </rPh>
    <rPh sb="66" eb="69">
      <t>ヨウケントウ</t>
    </rPh>
    <rPh sb="73" eb="74">
      <t>メン</t>
    </rPh>
    <rPh sb="74" eb="75">
      <t>ツ</t>
    </rPh>
    <rPh sb="76" eb="77">
      <t>スウ</t>
    </rPh>
    <rPh sb="82" eb="84">
      <t>シア</t>
    </rPh>
    <rPh sb="90" eb="91">
      <t>スウ</t>
    </rPh>
    <rPh sb="93" eb="95">
      <t>レンドウ</t>
    </rPh>
    <rPh sb="98" eb="100">
      <t>ニュウリョク</t>
    </rPh>
    <phoneticPr fontId="10"/>
  </si>
  <si>
    <t>枚</t>
    <rPh sb="0" eb="1">
      <t>マイ</t>
    </rPh>
    <phoneticPr fontId="67"/>
  </si>
  <si>
    <t>完成品サイズ(選択してください。非定型の場合は下の大きさ欄を手入力）</t>
    <rPh sb="0" eb="3">
      <t>カンセイヒン</t>
    </rPh>
    <rPh sb="7" eb="9">
      <t>センタク</t>
    </rPh>
    <rPh sb="16" eb="19">
      <t>ヒテイケイ</t>
    </rPh>
    <rPh sb="20" eb="22">
      <t>バアイ</t>
    </rPh>
    <rPh sb="23" eb="24">
      <t>シタ</t>
    </rPh>
    <rPh sb="25" eb="26">
      <t>オオ</t>
    </rPh>
    <rPh sb="28" eb="29">
      <t>ラン</t>
    </rPh>
    <rPh sb="30" eb="31">
      <t>テ</t>
    </rPh>
    <rPh sb="31" eb="33">
      <t>ニュウリョク</t>
    </rPh>
    <phoneticPr fontId="67"/>
  </si>
  <si>
    <t>（本紙部数+予備紙部数）×完成品頁数×高さ㎜
※予備部数は納品部数×（本紙枚数/予備枚数）とする。</t>
    <rPh sb="1" eb="3">
      <t>ホンシ</t>
    </rPh>
    <rPh sb="3" eb="5">
      <t>ブスウ</t>
    </rPh>
    <rPh sb="6" eb="8">
      <t>ヨビ</t>
    </rPh>
    <rPh sb="8" eb="9">
      <t>カミ</t>
    </rPh>
    <rPh sb="9" eb="11">
      <t>ブスウ</t>
    </rPh>
    <rPh sb="13" eb="16">
      <t>カンセイヒン</t>
    </rPh>
    <rPh sb="16" eb="17">
      <t>ページ</t>
    </rPh>
    <rPh sb="17" eb="18">
      <t>スウ</t>
    </rPh>
    <rPh sb="19" eb="20">
      <t>タカ</t>
    </rPh>
    <rPh sb="24" eb="26">
      <t>ヨビ</t>
    </rPh>
    <rPh sb="26" eb="28">
      <t>ブスウ</t>
    </rPh>
    <rPh sb="29" eb="31">
      <t>ノウヒン</t>
    </rPh>
    <rPh sb="31" eb="33">
      <t>ブスウ</t>
    </rPh>
    <rPh sb="35" eb="37">
      <t>ホンシ</t>
    </rPh>
    <rPh sb="37" eb="39">
      <t>マイスウ</t>
    </rPh>
    <rPh sb="40" eb="42">
      <t>ヨビ</t>
    </rPh>
    <rPh sb="42" eb="44">
      <t>マイスウ</t>
    </rPh>
    <phoneticPr fontId="10"/>
  </si>
  <si>
    <t>（本紙枚数+印刷予備枚数+製本予備枚数）×連量/1000</t>
    <rPh sb="1" eb="3">
      <t>ホンシ</t>
    </rPh>
    <rPh sb="3" eb="5">
      <t>マイスウ</t>
    </rPh>
    <rPh sb="6" eb="8">
      <t>インサツ</t>
    </rPh>
    <rPh sb="8" eb="10">
      <t>ヨビ</t>
    </rPh>
    <rPh sb="10" eb="12">
      <t>マイスウ</t>
    </rPh>
    <rPh sb="13" eb="15">
      <t>セイホン</t>
    </rPh>
    <rPh sb="15" eb="17">
      <t>ヨビ</t>
    </rPh>
    <rPh sb="17" eb="19">
      <t>マイスウ</t>
    </rPh>
    <rPh sb="21" eb="22">
      <t>レン</t>
    </rPh>
    <rPh sb="22" eb="23">
      <t>リョウ</t>
    </rPh>
    <phoneticPr fontId="10"/>
  </si>
  <si>
    <t>本紙枚数×1枚あたり重量（連量÷1000）
＝断裁前の本紙重量</t>
    <rPh sb="0" eb="2">
      <t>ホンシ</t>
    </rPh>
    <rPh sb="2" eb="4">
      <t>マイスウ</t>
    </rPh>
    <rPh sb="6" eb="7">
      <t>マイ</t>
    </rPh>
    <rPh sb="10" eb="12">
      <t>ジュウリョウ</t>
    </rPh>
    <rPh sb="13" eb="14">
      <t>レン</t>
    </rPh>
    <rPh sb="14" eb="15">
      <t>リョウ</t>
    </rPh>
    <rPh sb="23" eb="25">
      <t>ダンサイ</t>
    </rPh>
    <rPh sb="25" eb="26">
      <t>マエ</t>
    </rPh>
    <rPh sb="27" eb="29">
      <t>ホンシ</t>
    </rPh>
    <rPh sb="29" eb="31">
      <t>ジュウリョウ</t>
    </rPh>
    <phoneticPr fontId="10"/>
  </si>
  <si>
    <t>用紙面積㎡</t>
    <rPh sb="0" eb="2">
      <t>ヨウシ</t>
    </rPh>
    <rPh sb="2" eb="4">
      <t>メンセキ</t>
    </rPh>
    <phoneticPr fontId="10"/>
  </si>
  <si>
    <t>実測またはPCRシナリオ（全国1,000㎞、県間500㎞、県内100㎞、市内50㎞）</t>
    <rPh sb="0" eb="2">
      <t>ジッソク</t>
    </rPh>
    <rPh sb="13" eb="15">
      <t>ゼンコク</t>
    </rPh>
    <rPh sb="22" eb="24">
      <t>ケンカン</t>
    </rPh>
    <rPh sb="24" eb="25">
      <t>イキナイ</t>
    </rPh>
    <rPh sb="29" eb="31">
      <t>ケンナイ</t>
    </rPh>
    <rPh sb="36" eb="38">
      <t>シナイ</t>
    </rPh>
    <phoneticPr fontId="10"/>
  </si>
  <si>
    <t>実測またはPCRシナリオ（不明・全国：1,000㎞、県間：500㎞、県内：100㎞、市内：50㎞）</t>
    <rPh sb="0" eb="2">
      <t>ジッソク</t>
    </rPh>
    <rPh sb="13" eb="15">
      <t>フメイ</t>
    </rPh>
    <rPh sb="16" eb="18">
      <t>ゼンコク</t>
    </rPh>
    <rPh sb="26" eb="28">
      <t>ケンカン</t>
    </rPh>
    <rPh sb="29" eb="30">
      <t>イキナイ</t>
    </rPh>
    <rPh sb="34" eb="36">
      <t>ケンナイ</t>
    </rPh>
    <rPh sb="42" eb="44">
      <t>シナイ</t>
    </rPh>
    <phoneticPr fontId="10"/>
  </si>
  <si>
    <t>完成品の工場から納品先までの輸送（直接最終消費者に送付する場合は実測0㎞とする）</t>
    <rPh sb="0" eb="3">
      <t>カンセイヒン</t>
    </rPh>
    <rPh sb="4" eb="6">
      <t>コウジョウ</t>
    </rPh>
    <rPh sb="8" eb="10">
      <t>ノウヒン</t>
    </rPh>
    <rPh sb="10" eb="11">
      <t>サキ</t>
    </rPh>
    <rPh sb="14" eb="16">
      <t>ユソウ</t>
    </rPh>
    <rPh sb="17" eb="19">
      <t>チョクセツ</t>
    </rPh>
    <rPh sb="19" eb="21">
      <t>サイシュウ</t>
    </rPh>
    <rPh sb="21" eb="24">
      <t>ショウヒシャ</t>
    </rPh>
    <rPh sb="25" eb="27">
      <t>ソウフ</t>
    </rPh>
    <rPh sb="29" eb="31">
      <t>バアイ</t>
    </rPh>
    <rPh sb="32" eb="34">
      <t>ジッソク</t>
    </rPh>
    <phoneticPr fontId="10"/>
  </si>
  <si>
    <t>入力シート
根拠シート</t>
    <rPh sb="0" eb="2">
      <t>ニュウリョク</t>
    </rPh>
    <rPh sb="6" eb="8">
      <t>コンキョ</t>
    </rPh>
    <phoneticPr fontId="10"/>
  </si>
  <si>
    <t>完成品輸送、消費者に直接輸送する場合の記入方法確認。
紙製封筒は製造および輸送が含まれた原単位だが、プラスチック製封筒は製造のみしか含まれておらず、輸送は別計上する必要がある。</t>
    <rPh sb="0" eb="3">
      <t>カンセイヒン</t>
    </rPh>
    <rPh sb="3" eb="5">
      <t>ユソウ</t>
    </rPh>
    <rPh sb="6" eb="9">
      <t>ショウヒシャ</t>
    </rPh>
    <rPh sb="10" eb="12">
      <t>チョクセツ</t>
    </rPh>
    <rPh sb="12" eb="14">
      <t>ユソウ</t>
    </rPh>
    <rPh sb="16" eb="18">
      <t>バアイ</t>
    </rPh>
    <rPh sb="19" eb="21">
      <t>キニュウ</t>
    </rPh>
    <rPh sb="21" eb="23">
      <t>ホウホウ</t>
    </rPh>
    <rPh sb="23" eb="25">
      <t>カクニン</t>
    </rPh>
    <rPh sb="27" eb="29">
      <t>カミセイ</t>
    </rPh>
    <rPh sb="29" eb="31">
      <t>フウトウ</t>
    </rPh>
    <rPh sb="32" eb="34">
      <t>セイゾウ</t>
    </rPh>
    <rPh sb="37" eb="39">
      <t>ユソウ</t>
    </rPh>
    <rPh sb="40" eb="41">
      <t>フク</t>
    </rPh>
    <rPh sb="44" eb="47">
      <t>ゲンタンイ</t>
    </rPh>
    <rPh sb="56" eb="57">
      <t>セイ</t>
    </rPh>
    <rPh sb="57" eb="59">
      <t>フウトウ</t>
    </rPh>
    <rPh sb="60" eb="62">
      <t>セイゾウ</t>
    </rPh>
    <rPh sb="66" eb="67">
      <t>フク</t>
    </rPh>
    <rPh sb="74" eb="76">
      <t>ユソウ</t>
    </rPh>
    <rPh sb="77" eb="78">
      <t>ベツ</t>
    </rPh>
    <rPh sb="78" eb="80">
      <t>ケイジョウ</t>
    </rPh>
    <rPh sb="82" eb="84">
      <t>ヒツヨウ</t>
    </rPh>
    <phoneticPr fontId="10"/>
  </si>
  <si>
    <t xml:space="preserve">最終消費者へ直接輸送の場合は、工場⇒納品先を0㎞とし、納品先⇒最終消費者の欄でカウントするよう説明書きを追加。
（納品先で封入する可能性があるので）
</t>
    <rPh sb="0" eb="2">
      <t>サイシュウ</t>
    </rPh>
    <rPh sb="2" eb="5">
      <t>ショウヒシャ</t>
    </rPh>
    <rPh sb="6" eb="8">
      <t>チョクセツ</t>
    </rPh>
    <rPh sb="8" eb="10">
      <t>ユソウ</t>
    </rPh>
    <rPh sb="11" eb="13">
      <t>バアイ</t>
    </rPh>
    <rPh sb="15" eb="17">
      <t>コウジョウ</t>
    </rPh>
    <rPh sb="18" eb="20">
      <t>ノウヒン</t>
    </rPh>
    <rPh sb="20" eb="21">
      <t>サキ</t>
    </rPh>
    <rPh sb="27" eb="29">
      <t>ノウヒン</t>
    </rPh>
    <rPh sb="29" eb="30">
      <t>サキ</t>
    </rPh>
    <rPh sb="31" eb="33">
      <t>サイシュウ</t>
    </rPh>
    <rPh sb="33" eb="36">
      <t>ショウヒシャ</t>
    </rPh>
    <rPh sb="37" eb="38">
      <t>ラン</t>
    </rPh>
    <rPh sb="47" eb="49">
      <t>セツメイ</t>
    </rPh>
    <rPh sb="49" eb="50">
      <t>ガ</t>
    </rPh>
    <rPh sb="52" eb="54">
      <t>ツイカ</t>
    </rPh>
    <rPh sb="57" eb="59">
      <t>ノウヒン</t>
    </rPh>
    <rPh sb="59" eb="60">
      <t>サキ</t>
    </rPh>
    <rPh sb="61" eb="63">
      <t>フウニュウ</t>
    </rPh>
    <rPh sb="65" eb="68">
      <t>カノウセイ</t>
    </rPh>
    <phoneticPr fontId="10"/>
  </si>
  <si>
    <t>返信用封筒輸送</t>
    <rPh sb="0" eb="3">
      <t>ヘンシンヨウ</t>
    </rPh>
    <rPh sb="3" eb="5">
      <t>フウトウ</t>
    </rPh>
    <rPh sb="5" eb="7">
      <t>ユソウ</t>
    </rPh>
    <phoneticPr fontId="10"/>
  </si>
  <si>
    <t>プラスチック製封筒</t>
    <rPh sb="6" eb="7">
      <t>セイ</t>
    </rPh>
    <rPh sb="7" eb="9">
      <t>フウトウ</t>
    </rPh>
    <phoneticPr fontId="10"/>
  </si>
  <si>
    <t>1枚あたり（g）×枚数をkg換算</t>
    <rPh sb="1" eb="2">
      <t>マイ</t>
    </rPh>
    <rPh sb="9" eb="11">
      <t>マイスウ</t>
    </rPh>
    <rPh sb="14" eb="16">
      <t>カンサン</t>
    </rPh>
    <phoneticPr fontId="10"/>
  </si>
  <si>
    <t>針金重量（輸送量）</t>
    <rPh sb="0" eb="2">
      <t>ハリガネ</t>
    </rPh>
    <rPh sb="2" eb="4">
      <t>ジュウリョウ</t>
    </rPh>
    <rPh sb="5" eb="8">
      <t>ユソウリョウ</t>
    </rPh>
    <phoneticPr fontId="10"/>
  </si>
  <si>
    <t>糊重量（輸送量）</t>
    <rPh sb="0" eb="1">
      <t>ノリ</t>
    </rPh>
    <rPh sb="1" eb="3">
      <t>ジュウリョウ</t>
    </rPh>
    <rPh sb="4" eb="7">
      <t>ユソウリョウ</t>
    </rPh>
    <phoneticPr fontId="10"/>
  </si>
  <si>
    <t>流通段階以降の本紙の重量（C1重量と同じ）</t>
    <rPh sb="0" eb="2">
      <t>リュウツウ</t>
    </rPh>
    <rPh sb="2" eb="4">
      <t>ダンカイ</t>
    </rPh>
    <rPh sb="4" eb="6">
      <t>イコウ</t>
    </rPh>
    <rPh sb="7" eb="9">
      <t>ホンシ</t>
    </rPh>
    <rPh sb="10" eb="12">
      <t>ジュウリョウ</t>
    </rPh>
    <rPh sb="15" eb="17">
      <t>ジュウリョウ</t>
    </rPh>
    <rPh sb="18" eb="19">
      <t>オナ</t>
    </rPh>
    <phoneticPr fontId="10"/>
  </si>
  <si>
    <t>枚</t>
    <phoneticPr fontId="10"/>
  </si>
  <si>
    <t>流通段階で出た数値を引用（C6をkg換算）</t>
    <rPh sb="0" eb="2">
      <t>リュウツウ</t>
    </rPh>
    <rPh sb="2" eb="4">
      <t>ダンカイ</t>
    </rPh>
    <rPh sb="5" eb="6">
      <t>デ</t>
    </rPh>
    <rPh sb="7" eb="9">
      <t>スウチ</t>
    </rPh>
    <rPh sb="10" eb="12">
      <t>インヨウ</t>
    </rPh>
    <rPh sb="18" eb="20">
      <t>カンサン</t>
    </rPh>
    <phoneticPr fontId="10"/>
  </si>
  <si>
    <t>流通段階で出た数値を引用（C5と同じ）</t>
    <rPh sb="0" eb="2">
      <t>リュウツウ</t>
    </rPh>
    <rPh sb="2" eb="4">
      <t>ダンカイ</t>
    </rPh>
    <rPh sb="5" eb="6">
      <t>デ</t>
    </rPh>
    <rPh sb="7" eb="9">
      <t>スウチ</t>
    </rPh>
    <rPh sb="10" eb="12">
      <t>インヨウ</t>
    </rPh>
    <rPh sb="16" eb="17">
      <t>オナ</t>
    </rPh>
    <phoneticPr fontId="10"/>
  </si>
  <si>
    <t>公開用電話番号</t>
    <rPh sb="0" eb="2">
      <t>コウカイ</t>
    </rPh>
    <rPh sb="2" eb="3">
      <t>ヨウ</t>
    </rPh>
    <rPh sb="3" eb="5">
      <t>デンワ</t>
    </rPh>
    <rPh sb="5" eb="7">
      <t>バンゴウ</t>
    </rPh>
    <phoneticPr fontId="10"/>
  </si>
  <si>
    <t>★</t>
    <phoneticPr fontId="10"/>
  </si>
  <si>
    <t>　　</t>
    <phoneticPr fontId="10"/>
  </si>
  <si>
    <t>輪転・非定型</t>
    <rPh sb="0" eb="2">
      <t>リンテン</t>
    </rPh>
    <rPh sb="3" eb="6">
      <t>ヒテイケイ</t>
    </rPh>
    <phoneticPr fontId="10"/>
  </si>
  <si>
    <t>　輪転・非定型の場合のみ、用紙タテ</t>
    <rPh sb="1" eb="3">
      <t>リンテン</t>
    </rPh>
    <rPh sb="4" eb="7">
      <t>ヒテイケイ</t>
    </rPh>
    <rPh sb="8" eb="10">
      <t>バアイ</t>
    </rPh>
    <rPh sb="13" eb="15">
      <t>ヨウシ</t>
    </rPh>
    <phoneticPr fontId="10"/>
  </si>
  <si>
    <t>　輪転・非定型の場合のみ、用紙ヨコ</t>
    <rPh sb="1" eb="3">
      <t>リンテン</t>
    </rPh>
    <rPh sb="4" eb="7">
      <t>ヒテイケイ</t>
    </rPh>
    <rPh sb="8" eb="10">
      <t>バアイ</t>
    </rPh>
    <rPh sb="13" eb="15">
      <t>ヨウシ</t>
    </rPh>
    <phoneticPr fontId="10"/>
  </si>
  <si>
    <t>㎜</t>
    <phoneticPr fontId="10"/>
  </si>
  <si>
    <t>輪転・非定型</t>
    <rPh sb="0" eb="2">
      <t>リンテン</t>
    </rPh>
    <rPh sb="3" eb="6">
      <t>ヒテイケイ</t>
    </rPh>
    <phoneticPr fontId="10"/>
  </si>
  <si>
    <t>（本紙枚数+印刷予備枚数+製本予備枚数）*色数（輪転・非定型の場合は㎡）</t>
    <rPh sb="1" eb="3">
      <t>ホンシ</t>
    </rPh>
    <rPh sb="3" eb="5">
      <t>マイスウ</t>
    </rPh>
    <rPh sb="6" eb="8">
      <t>インサツ</t>
    </rPh>
    <rPh sb="8" eb="10">
      <t>ヨビ</t>
    </rPh>
    <rPh sb="10" eb="12">
      <t>マイスウ</t>
    </rPh>
    <rPh sb="13" eb="15">
      <t>セイホン</t>
    </rPh>
    <rPh sb="15" eb="17">
      <t>ヨビ</t>
    </rPh>
    <rPh sb="17" eb="19">
      <t>マイスウ</t>
    </rPh>
    <rPh sb="21" eb="22">
      <t>イロ</t>
    </rPh>
    <rPh sb="22" eb="23">
      <t>カズ</t>
    </rPh>
    <rPh sb="24" eb="26">
      <t>リンテン</t>
    </rPh>
    <rPh sb="27" eb="30">
      <t>ヒテイケイ</t>
    </rPh>
    <rPh sb="31" eb="33">
      <t>バアイ</t>
    </rPh>
    <phoneticPr fontId="10"/>
  </si>
  <si>
    <t>本紙枚数（輪転・非定型の場合は㎡）×色数</t>
    <rPh sb="0" eb="2">
      <t>ホンシ</t>
    </rPh>
    <rPh sb="2" eb="4">
      <t>マイスウ</t>
    </rPh>
    <rPh sb="5" eb="7">
      <t>リンテン</t>
    </rPh>
    <rPh sb="8" eb="11">
      <t>ヒテイケイ</t>
    </rPh>
    <rPh sb="12" eb="14">
      <t>バアイ</t>
    </rPh>
    <rPh sb="18" eb="19">
      <t>イロ</t>
    </rPh>
    <rPh sb="19" eb="20">
      <t>カズ</t>
    </rPh>
    <phoneticPr fontId="10"/>
  </si>
  <si>
    <t>最大印刷速度（オフセットの場合は通し数・枚。輪転の場合は最大印刷（回転）速度（rpm））</t>
    <rPh sb="0" eb="2">
      <t>サイダイ</t>
    </rPh>
    <rPh sb="2" eb="4">
      <t>インサツ</t>
    </rPh>
    <rPh sb="4" eb="6">
      <t>ソクド</t>
    </rPh>
    <rPh sb="13" eb="15">
      <t>バアイ</t>
    </rPh>
    <rPh sb="16" eb="17">
      <t>トオ</t>
    </rPh>
    <rPh sb="18" eb="19">
      <t>スウ</t>
    </rPh>
    <rPh sb="20" eb="21">
      <t>マイ</t>
    </rPh>
    <rPh sb="22" eb="24">
      <t>リンテン</t>
    </rPh>
    <rPh sb="25" eb="27">
      <t>バアイ</t>
    </rPh>
    <rPh sb="28" eb="30">
      <t>サイダイ</t>
    </rPh>
    <rPh sb="30" eb="32">
      <t>インサツ</t>
    </rPh>
    <rPh sb="33" eb="35">
      <t>カイテン</t>
    </rPh>
    <rPh sb="36" eb="38">
      <t>ソクド</t>
    </rPh>
    <phoneticPr fontId="67"/>
  </si>
  <si>
    <t xml:space="preserve">データの根拠の計算式でE58-E62の
　計算式で、被印刷物の製品重量を計算していますが、式の中の面付けの値が5つの式ともに個別製品情報入力
　シート!E28のセルを使用しており、入力シートの①の印刷機の面付け数のみを使用しています。
</t>
    <phoneticPr fontId="10"/>
  </si>
  <si>
    <t>各印刷機ごとの面付け数の値を参照するよう修正済み。</t>
    <rPh sb="0" eb="1">
      <t>カク</t>
    </rPh>
    <rPh sb="1" eb="3">
      <t>インサツ</t>
    </rPh>
    <rPh sb="3" eb="4">
      <t>キ</t>
    </rPh>
    <rPh sb="7" eb="8">
      <t>メン</t>
    </rPh>
    <rPh sb="8" eb="9">
      <t>ツ</t>
    </rPh>
    <rPh sb="10" eb="11">
      <t>スウ</t>
    </rPh>
    <rPh sb="12" eb="13">
      <t>アタイ</t>
    </rPh>
    <rPh sb="14" eb="16">
      <t>サンショウ</t>
    </rPh>
    <rPh sb="20" eb="22">
      <t>シュウセイ</t>
    </rPh>
    <rPh sb="22" eb="23">
      <t>ズ</t>
    </rPh>
    <phoneticPr fontId="10"/>
  </si>
  <si>
    <t>全般</t>
    <rPh sb="0" eb="2">
      <t>ゼンパン</t>
    </rPh>
    <phoneticPr fontId="10"/>
  </si>
  <si>
    <t>印刷電力消費量（A4版1枚換算）</t>
    <rPh sb="0" eb="2">
      <t>インサツ</t>
    </rPh>
    <rPh sb="2" eb="4">
      <t>デンリョク</t>
    </rPh>
    <rPh sb="4" eb="7">
      <t>ショウヒリョウ</t>
    </rPh>
    <rPh sb="10" eb="11">
      <t>バン</t>
    </rPh>
    <rPh sb="12" eb="13">
      <t>マイ</t>
    </rPh>
    <rPh sb="13" eb="15">
      <t>カンサン</t>
    </rPh>
    <phoneticPr fontId="10"/>
  </si>
  <si>
    <t>色数が入っていない</t>
    <rPh sb="0" eb="1">
      <t>イロ</t>
    </rPh>
    <rPh sb="1" eb="2">
      <t>カズ</t>
    </rPh>
    <rPh sb="3" eb="4">
      <t>ハイ</t>
    </rPh>
    <phoneticPr fontId="10"/>
  </si>
  <si>
    <t>一番大きい色数を記載するように修正済み</t>
    <rPh sb="0" eb="2">
      <t>イチバン</t>
    </rPh>
    <rPh sb="2" eb="3">
      <t>オオ</t>
    </rPh>
    <rPh sb="5" eb="6">
      <t>イロ</t>
    </rPh>
    <rPh sb="6" eb="7">
      <t>カズ</t>
    </rPh>
    <rPh sb="8" eb="10">
      <t>キサイ</t>
    </rPh>
    <rPh sb="15" eb="17">
      <t>シュウセイ</t>
    </rPh>
    <rPh sb="17" eb="18">
      <t>ズ</t>
    </rPh>
    <phoneticPr fontId="10"/>
  </si>
  <si>
    <t>印刷物のCFP検証申請書セルフチェックリスト</t>
    <rPh sb="0" eb="3">
      <t>インサツブツ</t>
    </rPh>
    <rPh sb="7" eb="9">
      <t>ケンショウ</t>
    </rPh>
    <rPh sb="9" eb="11">
      <t>シンセイ</t>
    </rPh>
    <rPh sb="11" eb="12">
      <t>ショ</t>
    </rPh>
    <phoneticPr fontId="10"/>
  </si>
  <si>
    <t>※チェック済のものは、「未確認」を「確認済み」に変更してください。申請されるCFP検証申請書に該当する内容が無い場合は「なし」を選択してください。申請の際には、本チェックリストの最後の行が「全件チェックOK」になっていることを確認してください。</t>
    <rPh sb="12" eb="15">
      <t>ミカクニン</t>
    </rPh>
    <rPh sb="18" eb="20">
      <t>カクニン</t>
    </rPh>
    <rPh sb="20" eb="21">
      <t>ズ</t>
    </rPh>
    <rPh sb="41" eb="43">
      <t>ケンショウ</t>
    </rPh>
    <rPh sb="43" eb="45">
      <t>シンセイ</t>
    </rPh>
    <rPh sb="45" eb="46">
      <t>ショ</t>
    </rPh>
    <rPh sb="64" eb="66">
      <t>センタク</t>
    </rPh>
    <rPh sb="73" eb="75">
      <t>シンセイ</t>
    </rPh>
    <rPh sb="76" eb="77">
      <t>サイ</t>
    </rPh>
    <rPh sb="80" eb="81">
      <t>ホン</t>
    </rPh>
    <rPh sb="89" eb="91">
      <t>サイゴ</t>
    </rPh>
    <rPh sb="92" eb="93">
      <t>ギョウ</t>
    </rPh>
    <rPh sb="95" eb="97">
      <t>ゼンケン</t>
    </rPh>
    <rPh sb="113" eb="115">
      <t>カクニン</t>
    </rPh>
    <phoneticPr fontId="10"/>
  </si>
  <si>
    <t>１．「(1)個別製品情報入力シートのチェックリスト</t>
    <rPh sb="6" eb="8">
      <t>コベツ</t>
    </rPh>
    <rPh sb="8" eb="10">
      <t>セイヒン</t>
    </rPh>
    <rPh sb="10" eb="12">
      <t>ジョウホウ</t>
    </rPh>
    <rPh sb="12" eb="14">
      <t>ニュウリョク</t>
    </rPh>
    <phoneticPr fontId="10"/>
  </si>
  <si>
    <t>1-2</t>
    <phoneticPr fontId="10"/>
  </si>
  <si>
    <t>申請者情報欄には、法人格を含め正式名称が記載されているか。(日本語・英語とも）</t>
    <rPh sb="0" eb="3">
      <t>シンセイシャ</t>
    </rPh>
    <rPh sb="3" eb="5">
      <t>ジョウホウ</t>
    </rPh>
    <rPh sb="5" eb="6">
      <t>ラン</t>
    </rPh>
    <rPh sb="9" eb="10">
      <t>ホウ</t>
    </rPh>
    <rPh sb="10" eb="12">
      <t>ジンカク</t>
    </rPh>
    <rPh sb="13" eb="14">
      <t>フク</t>
    </rPh>
    <rPh sb="15" eb="17">
      <t>セイシキ</t>
    </rPh>
    <rPh sb="17" eb="19">
      <t>メイショウ</t>
    </rPh>
    <rPh sb="20" eb="22">
      <t>キサイ</t>
    </rPh>
    <rPh sb="30" eb="33">
      <t>ニホンゴ</t>
    </rPh>
    <rPh sb="34" eb="36">
      <t>エイゴ</t>
    </rPh>
    <phoneticPr fontId="10"/>
  </si>
  <si>
    <t>製品名の英語表記が記載されているか。英語表記を記載しない場合は「－」が記載されているか。</t>
    <rPh sb="0" eb="3">
      <t>セイヒンメイ</t>
    </rPh>
    <rPh sb="4" eb="6">
      <t>エイゴ</t>
    </rPh>
    <rPh sb="6" eb="8">
      <t>ヒョウキ</t>
    </rPh>
    <rPh sb="9" eb="11">
      <t>キサイ</t>
    </rPh>
    <rPh sb="18" eb="20">
      <t>エイゴ</t>
    </rPh>
    <rPh sb="20" eb="22">
      <t>ヒョウキ</t>
    </rPh>
    <rPh sb="23" eb="25">
      <t>キサイ</t>
    </rPh>
    <rPh sb="28" eb="30">
      <t>バアイ</t>
    </rPh>
    <rPh sb="35" eb="37">
      <t>キサイ</t>
    </rPh>
    <phoneticPr fontId="10"/>
  </si>
  <si>
    <t>1-3</t>
    <phoneticPr fontId="10"/>
  </si>
  <si>
    <t>根拠資料名欄にエビデンスの種類が入っているか、管理番号等、データを特定できる情報が入っているか。</t>
    <rPh sb="0" eb="2">
      <t>コンキョ</t>
    </rPh>
    <rPh sb="2" eb="4">
      <t>シリョウ</t>
    </rPh>
    <rPh sb="4" eb="5">
      <t>メイ</t>
    </rPh>
    <rPh sb="5" eb="6">
      <t>ラン</t>
    </rPh>
    <rPh sb="13" eb="15">
      <t>シュルイ</t>
    </rPh>
    <rPh sb="16" eb="17">
      <t>ハイ</t>
    </rPh>
    <rPh sb="23" eb="25">
      <t>カンリ</t>
    </rPh>
    <rPh sb="25" eb="27">
      <t>バンゴウ</t>
    </rPh>
    <rPh sb="27" eb="28">
      <t>ナド</t>
    </rPh>
    <rPh sb="33" eb="35">
      <t>トクテイ</t>
    </rPh>
    <rPh sb="38" eb="40">
      <t>ジョウホウ</t>
    </rPh>
    <rPh sb="41" eb="42">
      <t>ハイ</t>
    </rPh>
    <phoneticPr fontId="10"/>
  </si>
  <si>
    <t>黄色のセルの項目は適切に選択されているか。白いセルに必要事項はすべて記載されているか。必要のない項目に数値が入っていないか。</t>
    <rPh sb="0" eb="2">
      <t>キイロ</t>
    </rPh>
    <rPh sb="6" eb="8">
      <t>コウモク</t>
    </rPh>
    <rPh sb="9" eb="11">
      <t>テキセツ</t>
    </rPh>
    <rPh sb="12" eb="14">
      <t>センタク</t>
    </rPh>
    <rPh sb="21" eb="22">
      <t>シロ</t>
    </rPh>
    <rPh sb="26" eb="28">
      <t>ヒツヨウ</t>
    </rPh>
    <rPh sb="28" eb="30">
      <t>ジコウ</t>
    </rPh>
    <rPh sb="34" eb="36">
      <t>キサイ</t>
    </rPh>
    <rPh sb="43" eb="45">
      <t>ヒツヨウ</t>
    </rPh>
    <rPh sb="48" eb="50">
      <t>コウモク</t>
    </rPh>
    <rPh sb="51" eb="53">
      <t>スウチ</t>
    </rPh>
    <rPh sb="54" eb="55">
      <t>ハイ</t>
    </rPh>
    <phoneticPr fontId="10"/>
  </si>
  <si>
    <t>1-4</t>
    <phoneticPr fontId="10"/>
  </si>
  <si>
    <t>数値の単位は正しく入力されているか。</t>
    <rPh sb="0" eb="2">
      <t>スウチ</t>
    </rPh>
    <rPh sb="3" eb="5">
      <t>タンイ</t>
    </rPh>
    <rPh sb="6" eb="7">
      <t>タダ</t>
    </rPh>
    <rPh sb="9" eb="11">
      <t>ニュウリョク</t>
    </rPh>
    <phoneticPr fontId="10"/>
  </si>
  <si>
    <t>（注）可能であれば、受注伝票等のエビデンスを添付してください。</t>
    <rPh sb="3" eb="5">
      <t>カノウ</t>
    </rPh>
    <rPh sb="10" eb="12">
      <t>ジュチュウ</t>
    </rPh>
    <rPh sb="12" eb="14">
      <t>デンピョウ</t>
    </rPh>
    <rPh sb="14" eb="15">
      <t>ナド</t>
    </rPh>
    <rPh sb="22" eb="24">
      <t>テンプ</t>
    </rPh>
    <phoneticPr fontId="10"/>
  </si>
  <si>
    <t>1.7製品写真欄に印刷物の写真が添付されているか。</t>
    <rPh sb="3" eb="5">
      <t>セイヒン</t>
    </rPh>
    <rPh sb="5" eb="7">
      <t>シャシン</t>
    </rPh>
    <rPh sb="7" eb="8">
      <t>ラン</t>
    </rPh>
    <rPh sb="9" eb="12">
      <t>インサツブツ</t>
    </rPh>
    <rPh sb="13" eb="15">
      <t>シャシン</t>
    </rPh>
    <rPh sb="16" eb="18">
      <t>テンプ</t>
    </rPh>
    <phoneticPr fontId="10"/>
  </si>
  <si>
    <t>（注）検証申請時、表紙のイメージ画像が間に合わない場合は仮のものでも構いません。（仮であることがわかるようにしておくこと）。登録公開時には、正式な写真が必要となります。</t>
    <rPh sb="3" eb="5">
      <t>ケンショウ</t>
    </rPh>
    <rPh sb="5" eb="7">
      <t>シンセイ</t>
    </rPh>
    <rPh sb="7" eb="8">
      <t>ジ</t>
    </rPh>
    <rPh sb="9" eb="11">
      <t>ヒョウシ</t>
    </rPh>
    <rPh sb="16" eb="18">
      <t>ガゾウ</t>
    </rPh>
    <rPh sb="19" eb="20">
      <t>マ</t>
    </rPh>
    <rPh sb="21" eb="22">
      <t>ア</t>
    </rPh>
    <rPh sb="25" eb="27">
      <t>バアイ</t>
    </rPh>
    <rPh sb="28" eb="29">
      <t>カリ</t>
    </rPh>
    <rPh sb="34" eb="35">
      <t>カマ</t>
    </rPh>
    <rPh sb="41" eb="42">
      <t>カリ</t>
    </rPh>
    <rPh sb="62" eb="64">
      <t>トウロク</t>
    </rPh>
    <rPh sb="64" eb="66">
      <t>コウカイ</t>
    </rPh>
    <rPh sb="66" eb="67">
      <t>ジ</t>
    </rPh>
    <rPh sb="70" eb="72">
      <t>セイシキ</t>
    </rPh>
    <rPh sb="73" eb="75">
      <t>シャシン</t>
    </rPh>
    <rPh sb="76" eb="78">
      <t>ヒツヨウ</t>
    </rPh>
    <phoneticPr fontId="10"/>
  </si>
  <si>
    <t>すべての記載がセルの枠の中に納まっているか。バランスは整っているか。</t>
    <rPh sb="4" eb="6">
      <t>キサイ</t>
    </rPh>
    <rPh sb="10" eb="11">
      <t>ワク</t>
    </rPh>
    <rPh sb="12" eb="13">
      <t>ナカ</t>
    </rPh>
    <rPh sb="14" eb="15">
      <t>オサ</t>
    </rPh>
    <rPh sb="27" eb="28">
      <t>トトノ</t>
    </rPh>
    <phoneticPr fontId="10"/>
  </si>
  <si>
    <t>「2.1事業者名」は、登録料を支払う事業者の名称となっているか。</t>
    <rPh sb="11" eb="13">
      <t>トウロク</t>
    </rPh>
    <rPh sb="13" eb="14">
      <t>リョウ</t>
    </rPh>
    <rPh sb="15" eb="17">
      <t>シハラ</t>
    </rPh>
    <rPh sb="18" eb="21">
      <t>ジギョウシャ</t>
    </rPh>
    <rPh sb="22" eb="24">
      <t>メイショウ</t>
    </rPh>
    <phoneticPr fontId="10"/>
  </si>
  <si>
    <t>1-5</t>
    <phoneticPr fontId="10"/>
  </si>
  <si>
    <t>1-6</t>
    <phoneticPr fontId="10"/>
  </si>
  <si>
    <t>登録事業者が発注元企業である場合、その他連絡先に印刷会社の名前が記載されているか。</t>
    <rPh sb="0" eb="2">
      <t>トウロク</t>
    </rPh>
    <rPh sb="2" eb="5">
      <t>ジギョウシャ</t>
    </rPh>
    <rPh sb="6" eb="8">
      <t>ハッチュウ</t>
    </rPh>
    <rPh sb="8" eb="9">
      <t>モト</t>
    </rPh>
    <rPh sb="9" eb="11">
      <t>キギョウ</t>
    </rPh>
    <rPh sb="14" eb="16">
      <t>バアイ</t>
    </rPh>
    <rPh sb="19" eb="20">
      <t>タ</t>
    </rPh>
    <rPh sb="20" eb="23">
      <t>レンラクサキ</t>
    </rPh>
    <rPh sb="24" eb="26">
      <t>インサツ</t>
    </rPh>
    <rPh sb="26" eb="28">
      <t>ガイシャ</t>
    </rPh>
    <rPh sb="29" eb="31">
      <t>ナマエ</t>
    </rPh>
    <rPh sb="32" eb="34">
      <t>キサイ</t>
    </rPh>
    <phoneticPr fontId="10"/>
  </si>
  <si>
    <t>（注）初期設定では「kg-CO2e」表示になっています。発行部数が非常に多い、または極端に重い製品の場合は、適宜　「ｔ-CO2e」に修正してください。</t>
    <rPh sb="3" eb="5">
      <t>ショキ</t>
    </rPh>
    <rPh sb="5" eb="7">
      <t>セッテイ</t>
    </rPh>
    <rPh sb="18" eb="20">
      <t>ヒョウジ</t>
    </rPh>
    <rPh sb="28" eb="30">
      <t>ハッコウ</t>
    </rPh>
    <rPh sb="30" eb="32">
      <t>ブスウ</t>
    </rPh>
    <rPh sb="33" eb="35">
      <t>ヒジョウ</t>
    </rPh>
    <rPh sb="36" eb="37">
      <t>オオ</t>
    </rPh>
    <rPh sb="42" eb="44">
      <t>キョクタン</t>
    </rPh>
    <rPh sb="45" eb="46">
      <t>オモ</t>
    </rPh>
    <rPh sb="47" eb="49">
      <t>セイヒン</t>
    </rPh>
    <rPh sb="50" eb="52">
      <t>バアイ</t>
    </rPh>
    <rPh sb="54" eb="56">
      <t>テキギ</t>
    </rPh>
    <rPh sb="66" eb="68">
      <t>シュウセイ</t>
    </rPh>
    <phoneticPr fontId="10"/>
  </si>
  <si>
    <r>
      <t>「</t>
    </r>
    <r>
      <rPr>
        <sz val="10.5"/>
        <rFont val="ＭＳ Ｐゴシック"/>
        <family val="3"/>
        <charset val="128"/>
      </rPr>
      <t>3.1ＣＦＰ算定結果（カーボンフットプリント）」の「ｇ、㎏、ｔ」等の単位は消費者に伝わりやすいかものが選択されているか。</t>
    </r>
    <phoneticPr fontId="10"/>
  </si>
  <si>
    <r>
      <t>「</t>
    </r>
    <r>
      <rPr>
        <sz val="10.5"/>
        <rFont val="ＭＳ Ｐゴシック"/>
        <family val="3"/>
        <charset val="128"/>
      </rPr>
      <t>3.3数値表示」の「ｇ、㎏、ｔ」等の単位は消費者に伝わやすいかものが選択されているか。</t>
    </r>
    <rPh sb="4" eb="6">
      <t>スウチ</t>
    </rPh>
    <rPh sb="6" eb="8">
      <t>ヒョウジ</t>
    </rPh>
    <phoneticPr fontId="10"/>
  </si>
  <si>
    <t>（注）初期設定では「g」表示になっています。発行部数が非常に多い、または極端に重い製品の場合は、適宜　「㎏」に修正してください。</t>
    <rPh sb="3" eb="5">
      <t>ショキ</t>
    </rPh>
    <rPh sb="5" eb="7">
      <t>セッテイ</t>
    </rPh>
    <rPh sb="12" eb="14">
      <t>ヒョウジ</t>
    </rPh>
    <rPh sb="22" eb="24">
      <t>ハッコウ</t>
    </rPh>
    <rPh sb="24" eb="26">
      <t>ブスウ</t>
    </rPh>
    <rPh sb="27" eb="29">
      <t>ヒジョウ</t>
    </rPh>
    <rPh sb="30" eb="31">
      <t>オオ</t>
    </rPh>
    <rPh sb="36" eb="38">
      <t>キョクタン</t>
    </rPh>
    <rPh sb="39" eb="40">
      <t>オモ</t>
    </rPh>
    <rPh sb="41" eb="43">
      <t>セイヒン</t>
    </rPh>
    <rPh sb="44" eb="46">
      <t>バアイ</t>
    </rPh>
    <rPh sb="48" eb="50">
      <t>テキギ</t>
    </rPh>
    <rPh sb="55" eb="57">
      <t>シュウセイ</t>
    </rPh>
    <phoneticPr fontId="10"/>
  </si>
  <si>
    <t>（注）エラーが出ているときは、個別製品情報入力シートの入力項目のどこかに間違いがあります。データ入力と算出結果のシートなども確認しながら、間違いを修正してください。</t>
    <rPh sb="7" eb="8">
      <t>デ</t>
    </rPh>
    <rPh sb="15" eb="17">
      <t>コベツ</t>
    </rPh>
    <rPh sb="17" eb="19">
      <t>セイヒン</t>
    </rPh>
    <rPh sb="19" eb="21">
      <t>ジョウホウ</t>
    </rPh>
    <rPh sb="21" eb="23">
      <t>ニュウリョク</t>
    </rPh>
    <rPh sb="27" eb="29">
      <t>ニュウリョク</t>
    </rPh>
    <rPh sb="29" eb="31">
      <t>コウモク</t>
    </rPh>
    <rPh sb="36" eb="38">
      <t>マチガ</t>
    </rPh>
    <rPh sb="48" eb="50">
      <t>ニュウリョク</t>
    </rPh>
    <rPh sb="51" eb="53">
      <t>サンシュツ</t>
    </rPh>
    <rPh sb="53" eb="55">
      <t>ケッカ</t>
    </rPh>
    <rPh sb="62" eb="64">
      <t>カクニン</t>
    </rPh>
    <rPh sb="69" eb="71">
      <t>マチガ</t>
    </rPh>
    <rPh sb="73" eb="75">
      <t>シュウセイ</t>
    </rPh>
    <phoneticPr fontId="10"/>
  </si>
  <si>
    <t>（注）申請にあたっての連絡担当がどちらになるか、わかるように記載してください。</t>
    <rPh sb="3" eb="5">
      <t>シンセイ</t>
    </rPh>
    <rPh sb="11" eb="13">
      <t>レンラク</t>
    </rPh>
    <rPh sb="13" eb="15">
      <t>タントウ</t>
    </rPh>
    <rPh sb="30" eb="32">
      <t>キサイ</t>
    </rPh>
    <phoneticPr fontId="10"/>
  </si>
  <si>
    <t>（注）エラーが出ているときは、個別製品情報入力シートの入力項目のどこかに間違いがあります。データの根拠シートなども確認しながら、間違いを修正してください。</t>
    <rPh sb="1" eb="2">
      <t>チュウ</t>
    </rPh>
    <rPh sb="7" eb="8">
      <t>デ</t>
    </rPh>
    <rPh sb="15" eb="17">
      <t>コベツ</t>
    </rPh>
    <rPh sb="17" eb="19">
      <t>セイヒン</t>
    </rPh>
    <rPh sb="19" eb="21">
      <t>ジョウホウ</t>
    </rPh>
    <rPh sb="21" eb="23">
      <t>ニュウリョク</t>
    </rPh>
    <rPh sb="27" eb="29">
      <t>ニュウリョク</t>
    </rPh>
    <rPh sb="29" eb="31">
      <t>コウモク</t>
    </rPh>
    <rPh sb="36" eb="38">
      <t>マチガ</t>
    </rPh>
    <rPh sb="49" eb="51">
      <t>コンキョ</t>
    </rPh>
    <rPh sb="57" eb="59">
      <t>カクニン</t>
    </rPh>
    <rPh sb="64" eb="66">
      <t>マチガ</t>
    </rPh>
    <rPh sb="68" eb="70">
      <t>シュウセイ</t>
    </rPh>
    <phoneticPr fontId="10"/>
  </si>
  <si>
    <t>算定しようとしている製品は、本ツールの対象となる製品か。</t>
    <rPh sb="0" eb="2">
      <t>サンテイ</t>
    </rPh>
    <rPh sb="10" eb="12">
      <t>セイヒン</t>
    </rPh>
    <rPh sb="14" eb="15">
      <t>ホン</t>
    </rPh>
    <rPh sb="19" eb="21">
      <t>タイショウ</t>
    </rPh>
    <rPh sb="24" eb="26">
      <t>セイヒン</t>
    </rPh>
    <phoneticPr fontId="10"/>
  </si>
  <si>
    <t xml:space="preserve">（注）以下の要件を満たしていることを確認してください。
　　　・オフセット印刷機を用いて印刷されている
　　　・ニス等の特殊加工がない
　　　・印刷の台が5パターンまでのもの
　　　・日本国内で製造・原料調達を行っているもの
　　　・製品の届け先が国内、通常のトラック輸送で済むと想定されるもの
　　　・印刷に使用する紙のサイズがA倍判／A全判／A半裁／B全判／B半裁／
　　　　菊全判／菊半裁／菊4切／四六全判／四六半歳／四六4切／A3ノビ　のもの
</t>
    <rPh sb="1" eb="2">
      <t>チュウ</t>
    </rPh>
    <rPh sb="3" eb="5">
      <t>イカ</t>
    </rPh>
    <rPh sb="6" eb="8">
      <t>ヨウケン</t>
    </rPh>
    <rPh sb="9" eb="10">
      <t>ミ</t>
    </rPh>
    <rPh sb="18" eb="20">
      <t>カクニン</t>
    </rPh>
    <phoneticPr fontId="10"/>
  </si>
  <si>
    <t>（注）製品、PS版サイズは㎜、用紙重量は連量kg、封筒の重量はg　など、それぞれの単位にあった値が入力されているか、再確認してください。</t>
    <rPh sb="3" eb="5">
      <t>セイヒン</t>
    </rPh>
    <rPh sb="8" eb="9">
      <t>バン</t>
    </rPh>
    <rPh sb="15" eb="17">
      <t>ヨウシ</t>
    </rPh>
    <rPh sb="17" eb="19">
      <t>ジュウリョウ</t>
    </rPh>
    <rPh sb="20" eb="21">
      <t>レン</t>
    </rPh>
    <rPh sb="21" eb="22">
      <t>リョウ</t>
    </rPh>
    <rPh sb="25" eb="27">
      <t>フウトウ</t>
    </rPh>
    <rPh sb="28" eb="30">
      <t>ジュウリョウ</t>
    </rPh>
    <rPh sb="41" eb="43">
      <t>タンイ</t>
    </rPh>
    <rPh sb="47" eb="48">
      <t>アタイ</t>
    </rPh>
    <rPh sb="49" eb="51">
      <t>ニュウリョク</t>
    </rPh>
    <rPh sb="58" eb="61">
      <t>サイカクニン</t>
    </rPh>
    <phoneticPr fontId="10"/>
  </si>
  <si>
    <t>（注）完成品がA4サイズで菊全の紙を使った場合、入力される値は「8（面）」が最大となります。「16（頁）」ではないことに注意してください。</t>
    <rPh sb="1" eb="2">
      <t>チュウ</t>
    </rPh>
    <rPh sb="3" eb="6">
      <t>カンセイヒン</t>
    </rPh>
    <rPh sb="13" eb="14">
      <t>キク</t>
    </rPh>
    <rPh sb="14" eb="15">
      <t>ゼン</t>
    </rPh>
    <rPh sb="16" eb="17">
      <t>カミ</t>
    </rPh>
    <rPh sb="18" eb="19">
      <t>ツカ</t>
    </rPh>
    <rPh sb="21" eb="23">
      <t>バアイ</t>
    </rPh>
    <rPh sb="24" eb="26">
      <t>ニュウリョク</t>
    </rPh>
    <rPh sb="29" eb="30">
      <t>アタイ</t>
    </rPh>
    <rPh sb="34" eb="35">
      <t>メン</t>
    </rPh>
    <rPh sb="38" eb="40">
      <t>サイダイ</t>
    </rPh>
    <rPh sb="50" eb="51">
      <t>ページ</t>
    </rPh>
    <rPh sb="60" eb="62">
      <t>チュウイ</t>
    </rPh>
    <phoneticPr fontId="10"/>
  </si>
  <si>
    <t>断裁ロスのリサイクル、面付けの考え方について修正。
【変更前】製品になった面積（面付け数×完成品サイズ/2×納品部数÷本紙枚数）÷用紙面積×本紙重量=製品重量</t>
    <rPh sb="0" eb="2">
      <t>ダンサイ</t>
    </rPh>
    <rPh sb="11" eb="12">
      <t>メン</t>
    </rPh>
    <rPh sb="12" eb="13">
      <t>ツ</t>
    </rPh>
    <rPh sb="15" eb="16">
      <t>カンガ</t>
    </rPh>
    <rPh sb="17" eb="18">
      <t>カタ</t>
    </rPh>
    <rPh sb="22" eb="24">
      <t>シュウセイ</t>
    </rPh>
    <rPh sb="27" eb="29">
      <t>ヘンコウ</t>
    </rPh>
    <rPh sb="29" eb="30">
      <t>マエ</t>
    </rPh>
    <phoneticPr fontId="10"/>
  </si>
  <si>
    <t>【変更後】用紙面積÷製品になった面積（面付け数×完成品サイズ）×断裁前の本紙重量=製品重量</t>
    <rPh sb="1" eb="3">
      <t>ヘンコウ</t>
    </rPh>
    <rPh sb="3" eb="4">
      <t>ゴ</t>
    </rPh>
    <phoneticPr fontId="10"/>
  </si>
  <si>
    <t>全項目、「#VALUE!、#DIV/0!、#N/A」　等のエラー表示が出ていないか。</t>
    <rPh sb="0" eb="3">
      <t>ゼンコウモク</t>
    </rPh>
    <rPh sb="27" eb="28">
      <t>ナド</t>
    </rPh>
    <rPh sb="32" eb="34">
      <t>ヒョウジ</t>
    </rPh>
    <rPh sb="35" eb="36">
      <t>デ</t>
    </rPh>
    <phoneticPr fontId="10"/>
  </si>
  <si>
    <t>（注）エラーが出ているときは、入力項目のどこかに間違いがあります。データ根拠、データ入力と算出結果のシートなども確認しながら、間違いを修正してください。なお、4.1の解釈欄の文章中にも計算式が入っていますので、忘れずに確認してください。</t>
    <rPh sb="7" eb="8">
      <t>デ</t>
    </rPh>
    <rPh sb="15" eb="17">
      <t>ニュウリョク</t>
    </rPh>
    <rPh sb="17" eb="19">
      <t>コウモク</t>
    </rPh>
    <rPh sb="24" eb="26">
      <t>マチガ</t>
    </rPh>
    <rPh sb="36" eb="38">
      <t>コンキョ</t>
    </rPh>
    <rPh sb="42" eb="44">
      <t>ニュウリョク</t>
    </rPh>
    <rPh sb="45" eb="47">
      <t>サンシュツ</t>
    </rPh>
    <rPh sb="47" eb="49">
      <t>ケッカ</t>
    </rPh>
    <rPh sb="56" eb="58">
      <t>カクニン</t>
    </rPh>
    <rPh sb="63" eb="65">
      <t>マチガ</t>
    </rPh>
    <rPh sb="67" eb="69">
      <t>シュウセイ</t>
    </rPh>
    <rPh sb="83" eb="85">
      <t>カイシャク</t>
    </rPh>
    <rPh sb="85" eb="86">
      <t>ラン</t>
    </rPh>
    <rPh sb="87" eb="90">
      <t>ブンショウチュウ</t>
    </rPh>
    <rPh sb="92" eb="94">
      <t>ケイサン</t>
    </rPh>
    <rPh sb="94" eb="95">
      <t>シキ</t>
    </rPh>
    <rPh sb="96" eb="97">
      <t>ハイ</t>
    </rPh>
    <rPh sb="105" eb="106">
      <t>ワス</t>
    </rPh>
    <rPh sb="109" eb="111">
      <t>カクニン</t>
    </rPh>
    <phoneticPr fontId="10"/>
  </si>
  <si>
    <t>・「(5)データの根拠」タブの”断裁ロスのリサイクル”の”非印刷物①製品重量”の数量値(E58セル)
式の中のVLOOKUP関数内の用紙名参照セルがF25となっている。E25が正しい。その他の②～⑤は正しい。</t>
    <phoneticPr fontId="10"/>
  </si>
  <si>
    <t>修正済み</t>
    <rPh sb="0" eb="2">
      <t>シュウセイ</t>
    </rPh>
    <rPh sb="2" eb="3">
      <t>ズ</t>
    </rPh>
    <phoneticPr fontId="10"/>
  </si>
  <si>
    <t>データ入力と算出結果</t>
    <rPh sb="3" eb="5">
      <t>ニュウリョク</t>
    </rPh>
    <rPh sb="6" eb="8">
      <t>サンシュツ</t>
    </rPh>
    <rPh sb="8" eb="10">
      <t>ケッカ</t>
    </rPh>
    <phoneticPr fontId="10"/>
  </si>
  <si>
    <t>封筒の製造と輸送の原単位欄が「=VLOOKUP(個別製品情報入力シート!D61,原単位一覧!B103:F108,2,FALSE)/1000」となっており、数値が1/1000となってしまう。</t>
    <rPh sb="0" eb="2">
      <t>フウトウ</t>
    </rPh>
    <rPh sb="3" eb="5">
      <t>セイゾウ</t>
    </rPh>
    <rPh sb="6" eb="8">
      <t>ユソウ</t>
    </rPh>
    <rPh sb="9" eb="12">
      <t>ゲンタンイ</t>
    </rPh>
    <rPh sb="12" eb="13">
      <t>ラン</t>
    </rPh>
    <rPh sb="77" eb="79">
      <t>スウチ</t>
    </rPh>
    <phoneticPr fontId="10"/>
  </si>
  <si>
    <t>/1000を削除。修正済み。</t>
    <rPh sb="6" eb="8">
      <t>サクジョ</t>
    </rPh>
    <rPh sb="9" eb="11">
      <t>シュウセイ</t>
    </rPh>
    <rPh sb="11" eb="12">
      <t>ズ</t>
    </rPh>
    <phoneticPr fontId="10"/>
  </si>
  <si>
    <t>レイアウト数は正しく入力されているか</t>
    <rPh sb="5" eb="6">
      <t>スウ</t>
    </rPh>
    <rPh sb="7" eb="8">
      <t>タダ</t>
    </rPh>
    <rPh sb="10" eb="12">
      <t>ニュウリョク</t>
    </rPh>
    <phoneticPr fontId="10"/>
  </si>
  <si>
    <t>ページの配置数※</t>
    <rPh sb="4" eb="6">
      <t>ハイチ</t>
    </rPh>
    <rPh sb="6" eb="7">
      <t>スウ</t>
    </rPh>
    <phoneticPr fontId="10"/>
  </si>
  <si>
    <t>ページ（片面）</t>
    <rPh sb="4" eb="6">
      <t>カタメン</t>
    </rPh>
    <phoneticPr fontId="10"/>
  </si>
  <si>
    <t>検算</t>
    <rPh sb="0" eb="2">
      <t>ケンザン</t>
    </rPh>
    <phoneticPr fontId="10"/>
  </si>
  <si>
    <t>最軽用紙：</t>
    <rPh sb="0" eb="1">
      <t>モット</t>
    </rPh>
    <rPh sb="1" eb="2">
      <t>カル</t>
    </rPh>
    <rPh sb="2" eb="4">
      <t>ヨウシ</t>
    </rPh>
    <phoneticPr fontId="10"/>
  </si>
  <si>
    <t>㎡</t>
    <phoneticPr fontId="10"/>
  </si>
  <si>
    <t>非表示：ページ配置数検算用</t>
    <rPh sb="0" eb="3">
      <t>ヒヒョウジ</t>
    </rPh>
    <rPh sb="7" eb="9">
      <t>ハイチ</t>
    </rPh>
    <rPh sb="9" eb="10">
      <t>スウ</t>
    </rPh>
    <rPh sb="10" eb="13">
      <t>ケンザンヨウ</t>
    </rPh>
    <phoneticPr fontId="10"/>
  </si>
  <si>
    <t>非表示：1㎡あたり重量</t>
    <rPh sb="0" eb="3">
      <t>ヒヒョウジ</t>
    </rPh>
    <rPh sb="9" eb="11">
      <t>ジュウリョウ</t>
    </rPh>
    <phoneticPr fontId="10"/>
  </si>
  <si>
    <t>最軽製品重量</t>
    <rPh sb="0" eb="1">
      <t>モット</t>
    </rPh>
    <rPh sb="1" eb="2">
      <t>カル</t>
    </rPh>
    <rPh sb="2" eb="4">
      <t>セイヒン</t>
    </rPh>
    <rPh sb="4" eb="6">
      <t>ジュウリョウ</t>
    </rPh>
    <phoneticPr fontId="10"/>
  </si>
  <si>
    <t>kg/㎡</t>
    <phoneticPr fontId="10"/>
  </si>
  <si>
    <t>kg</t>
    <phoneticPr fontId="10"/>
  </si>
  <si>
    <t>過小や過大となっているデータがないか、全ライフサイクルに対する寄与率やライフサイクル段階別寄与率の情報を参考として確認すること。</t>
    <rPh sb="3" eb="5">
      <t>カダイ</t>
    </rPh>
    <rPh sb="57" eb="59">
      <t>カクニン</t>
    </rPh>
    <phoneticPr fontId="10"/>
  </si>
  <si>
    <t>（注）目安としては、「同じ会社で後を引き継いだ人が、ここに記入した数値の元データを探し出せる」記載を心掛けてください。また、ここに記載した元データ資料は、当該製品のCFPを公開している期間は保管することを原則として管理してください。</t>
    <phoneticPr fontId="10"/>
  </si>
  <si>
    <t>（注）レイアウトした面数が紙サイズから想定される最大値よりも大きい場合、入力シートの記入欄が赤く表示されますので、見直しをしてください。</t>
    <phoneticPr fontId="10"/>
  </si>
  <si>
    <t>想定製品重量</t>
    <rPh sb="0" eb="2">
      <t>ソウテイ</t>
    </rPh>
    <rPh sb="2" eb="4">
      <t>セイヒン</t>
    </rPh>
    <rPh sb="4" eb="6">
      <t>ジュウリョウ</t>
    </rPh>
    <phoneticPr fontId="10"/>
  </si>
  <si>
    <t>kg</t>
    <phoneticPr fontId="10"/>
  </si>
  <si>
    <t>本紙製品化率</t>
    <rPh sb="0" eb="2">
      <t>ホンシ</t>
    </rPh>
    <rPh sb="2" eb="5">
      <t>セイヒンカ</t>
    </rPh>
    <rPh sb="5" eb="6">
      <t>リツ</t>
    </rPh>
    <phoneticPr fontId="10"/>
  </si>
  <si>
    <t>1冊あたり製品用紙総面積</t>
    <rPh sb="1" eb="2">
      <t>サツ</t>
    </rPh>
    <rPh sb="5" eb="7">
      <t>セイヒン</t>
    </rPh>
    <rPh sb="7" eb="9">
      <t>ヨウシ</t>
    </rPh>
    <rPh sb="9" eb="12">
      <t>ソウメンセキ</t>
    </rPh>
    <phoneticPr fontId="10"/>
  </si>
  <si>
    <t>製品になった面積（レイアウト数×完成品サイズ）÷用紙面積×断裁前の本紙重量=製品重量
断裁前の本紙重量―製品重量＝断裁ロスとし、
工場で出るロスはすべてリサイクルされる。</t>
    <rPh sb="0" eb="2">
      <t>セイヒン</t>
    </rPh>
    <rPh sb="6" eb="8">
      <t>メンセキ</t>
    </rPh>
    <rPh sb="14" eb="15">
      <t>スウ</t>
    </rPh>
    <rPh sb="16" eb="19">
      <t>カンセイヒン</t>
    </rPh>
    <rPh sb="24" eb="26">
      <t>ヨウシ</t>
    </rPh>
    <rPh sb="26" eb="28">
      <t>メンセキ</t>
    </rPh>
    <rPh sb="29" eb="31">
      <t>ダンサイ</t>
    </rPh>
    <rPh sb="31" eb="32">
      <t>マエ</t>
    </rPh>
    <rPh sb="33" eb="35">
      <t>ホンシ</t>
    </rPh>
    <rPh sb="35" eb="37">
      <t>ジュウリョウ</t>
    </rPh>
    <rPh sb="38" eb="40">
      <t>セイヒン</t>
    </rPh>
    <rPh sb="40" eb="42">
      <t>ジュウリョウ</t>
    </rPh>
    <rPh sb="45" eb="47">
      <t>ダンサイ</t>
    </rPh>
    <rPh sb="47" eb="48">
      <t>マエ</t>
    </rPh>
    <rPh sb="49" eb="51">
      <t>ホンシ</t>
    </rPh>
    <rPh sb="51" eb="53">
      <t>ジュウリョウ</t>
    </rPh>
    <rPh sb="54" eb="56">
      <t>セイヒン</t>
    </rPh>
    <rPh sb="56" eb="58">
      <t>ジュウリョウ</t>
    </rPh>
    <rPh sb="59" eb="61">
      <t>ダンサイ</t>
    </rPh>
    <rPh sb="67" eb="69">
      <t>コウジョウ</t>
    </rPh>
    <rPh sb="70" eb="71">
      <t>デ</t>
    </rPh>
    <phoneticPr fontId="10"/>
  </si>
  <si>
    <t>自動チェック項目</t>
    <rPh sb="0" eb="2">
      <t>ジドウ</t>
    </rPh>
    <rPh sb="6" eb="8">
      <t>コウモク</t>
    </rPh>
    <phoneticPr fontId="10"/>
  </si>
  <si>
    <t>確認済</t>
    <rPh sb="0" eb="2">
      <t>カクニン</t>
    </rPh>
    <rPh sb="2" eb="3">
      <t>ズ</t>
    </rPh>
    <phoneticPr fontId="10"/>
  </si>
  <si>
    <t>（注）このツールはPCRと連動しています。版数が異なる場合、使用することができません。</t>
    <rPh sb="1" eb="2">
      <t>チュウ</t>
    </rPh>
    <rPh sb="13" eb="15">
      <t>レンドウ</t>
    </rPh>
    <rPh sb="21" eb="23">
      <t>ハンスウ</t>
    </rPh>
    <rPh sb="24" eb="25">
      <t>コト</t>
    </rPh>
    <rPh sb="27" eb="29">
      <t>バアイ</t>
    </rPh>
    <rPh sb="30" eb="32">
      <t>シヨウ</t>
    </rPh>
    <phoneticPr fontId="10"/>
  </si>
  <si>
    <t>（必須）関係するエビデンス資料（データ出典の名称、データ作成者の名称、社内情報システムの名称等）、説明資料の名称、プロセス番号</t>
    <rPh sb="1" eb="3">
      <t>ヒッス</t>
    </rPh>
    <rPh sb="4" eb="6">
      <t>カンケイ</t>
    </rPh>
    <rPh sb="13" eb="15">
      <t>シリョウ</t>
    </rPh>
    <rPh sb="19" eb="21">
      <t>シュッテン</t>
    </rPh>
    <rPh sb="22" eb="24">
      <t>メイショウ</t>
    </rPh>
    <rPh sb="28" eb="31">
      <t>サクセイシャ</t>
    </rPh>
    <rPh sb="32" eb="34">
      <t>メイショウ</t>
    </rPh>
    <rPh sb="35" eb="37">
      <t>シャナイ</t>
    </rPh>
    <rPh sb="37" eb="39">
      <t>ジョウホウ</t>
    </rPh>
    <rPh sb="44" eb="46">
      <t>メイショウ</t>
    </rPh>
    <rPh sb="46" eb="47">
      <t>トウ</t>
    </rPh>
    <rPh sb="49" eb="51">
      <t>セツメイ</t>
    </rPh>
    <rPh sb="51" eb="53">
      <t>シリョウ</t>
    </rPh>
    <rPh sb="54" eb="56">
      <t>メイショウ</t>
    </rPh>
    <rPh sb="61" eb="63">
      <t>バンゴウ</t>
    </rPh>
    <phoneticPr fontId="10"/>
  </si>
  <si>
    <t>実測</t>
  </si>
  <si>
    <t>-</t>
  </si>
  <si>
    <t>kg</t>
    <phoneticPr fontId="10"/>
  </si>
  <si>
    <t>製品焼却輸送</t>
    <rPh sb="0" eb="2">
      <t>セイヒン</t>
    </rPh>
    <rPh sb="2" eb="4">
      <t>ショウキャク</t>
    </rPh>
    <rPh sb="4" eb="6">
      <t>ユソウ</t>
    </rPh>
    <phoneticPr fontId="10"/>
  </si>
  <si>
    <t>製品リサイクル輸送</t>
    <rPh sb="0" eb="2">
      <t>セイヒン</t>
    </rPh>
    <rPh sb="7" eb="9">
      <t>ユソウ</t>
    </rPh>
    <phoneticPr fontId="10"/>
  </si>
  <si>
    <t>E2</t>
    <phoneticPr fontId="10"/>
  </si>
  <si>
    <t>E3</t>
    <phoneticPr fontId="10"/>
  </si>
  <si>
    <t>E4</t>
    <phoneticPr fontId="10"/>
  </si>
  <si>
    <t>E5</t>
    <phoneticPr fontId="10"/>
  </si>
  <si>
    <t>E6</t>
    <phoneticPr fontId="10"/>
  </si>
  <si>
    <t>廃棄物（焼却）輸送</t>
    <rPh sb="0" eb="3">
      <t>ハイキブツ</t>
    </rPh>
    <rPh sb="4" eb="6">
      <t>ショウキャク</t>
    </rPh>
    <rPh sb="7" eb="9">
      <t>ユソウ</t>
    </rPh>
    <phoneticPr fontId="10"/>
  </si>
  <si>
    <t>リサイクル輸送</t>
    <rPh sb="5" eb="7">
      <t>ユソウ</t>
    </rPh>
    <phoneticPr fontId="10"/>
  </si>
  <si>
    <t>トラック輸送（2トン車：積載率50%）</t>
    <phoneticPr fontId="10"/>
  </si>
  <si>
    <t>基本</t>
    <rPh sb="0" eb="2">
      <t>キホン</t>
    </rPh>
    <phoneticPr fontId="10"/>
  </si>
  <si>
    <t>B-JP525025</t>
    <phoneticPr fontId="10"/>
  </si>
  <si>
    <t>㎞</t>
    <phoneticPr fontId="10"/>
  </si>
  <si>
    <t>kg-CO2/ｔ㎞</t>
    <phoneticPr fontId="10"/>
  </si>
  <si>
    <t>なし</t>
  </si>
  <si>
    <t>印刷空調照明(枚葉オフセット)</t>
    <rPh sb="0" eb="2">
      <t>インサツ</t>
    </rPh>
    <rPh sb="2" eb="4">
      <t>クウチョウ</t>
    </rPh>
    <rPh sb="4" eb="6">
      <t>ショウメイ</t>
    </rPh>
    <rPh sb="7" eb="9">
      <t>マイヨウ</t>
    </rPh>
    <phoneticPr fontId="10"/>
  </si>
  <si>
    <t>印刷空調照明（輪転オフセット）</t>
    <rPh sb="0" eb="2">
      <t>インサツ</t>
    </rPh>
    <rPh sb="2" eb="4">
      <t>クウチョウ</t>
    </rPh>
    <rPh sb="4" eb="6">
      <t>ショウメイ</t>
    </rPh>
    <rPh sb="7" eb="9">
      <t>リンテン</t>
    </rPh>
    <phoneticPr fontId="10"/>
  </si>
  <si>
    <t>ｋｇ-CO3/枚</t>
    <rPh sb="7" eb="8">
      <t>マイ</t>
    </rPh>
    <phoneticPr fontId="10"/>
  </si>
  <si>
    <t>対応済み</t>
    <rPh sb="0" eb="2">
      <t>タイオウ</t>
    </rPh>
    <rPh sb="2" eb="3">
      <t>ズ</t>
    </rPh>
    <phoneticPr fontId="10"/>
  </si>
  <si>
    <t>算出結果</t>
    <rPh sb="0" eb="2">
      <t>サンシュツ</t>
    </rPh>
    <rPh sb="2" eb="4">
      <t>ケッカ</t>
    </rPh>
    <phoneticPr fontId="10"/>
  </si>
  <si>
    <t>PODツール
作成時検討</t>
    <rPh sb="7" eb="9">
      <t>サクセイ</t>
    </rPh>
    <rPh sb="9" eb="10">
      <t>ジ</t>
    </rPh>
    <rPh sb="10" eb="12">
      <t>ケントウ</t>
    </rPh>
    <phoneticPr fontId="10"/>
  </si>
  <si>
    <t>―</t>
    <phoneticPr fontId="10"/>
  </si>
  <si>
    <t>輪転印刷機の種類（選択してください）</t>
    <rPh sb="0" eb="2">
      <t>リンテン</t>
    </rPh>
    <rPh sb="2" eb="5">
      <t>インサツキ</t>
    </rPh>
    <rPh sb="6" eb="8">
      <t>シュルイ</t>
    </rPh>
    <rPh sb="9" eb="11">
      <t>センタク</t>
    </rPh>
    <phoneticPr fontId="10"/>
  </si>
  <si>
    <t>枚葉印刷機定格電力
（PODの場合はTEC値を入れる）</t>
    <rPh sb="0" eb="2">
      <t>マイヨウ</t>
    </rPh>
    <rPh sb="2" eb="4">
      <t>インサツ</t>
    </rPh>
    <rPh sb="4" eb="5">
      <t>キ</t>
    </rPh>
    <rPh sb="5" eb="7">
      <t>テイカク</t>
    </rPh>
    <rPh sb="7" eb="9">
      <t>デンリョク</t>
    </rPh>
    <phoneticPr fontId="67"/>
  </si>
  <si>
    <t>●紙のサイズ、生産段階原単位</t>
    <rPh sb="1" eb="2">
      <t>カミ</t>
    </rPh>
    <rPh sb="7" eb="9">
      <t>セイサン</t>
    </rPh>
    <rPh sb="9" eb="11">
      <t>ダンカイ</t>
    </rPh>
    <rPh sb="11" eb="14">
      <t>ゲンタンイ</t>
    </rPh>
    <phoneticPr fontId="10"/>
  </si>
  <si>
    <t>●輪転印刷機定格電力原単位</t>
    <rPh sb="1" eb="3">
      <t>リンテン</t>
    </rPh>
    <rPh sb="3" eb="6">
      <t>インサツキ</t>
    </rPh>
    <rPh sb="6" eb="8">
      <t>テイカク</t>
    </rPh>
    <rPh sb="8" eb="10">
      <t>デンリョク</t>
    </rPh>
    <rPh sb="10" eb="13">
      <t>ゲンタンイ</t>
    </rPh>
    <phoneticPr fontId="10"/>
  </si>
  <si>
    <t>輪転オフセット印刷機の仕様</t>
  </si>
  <si>
    <t>印刷定格電力</t>
  </si>
  <si>
    <t>kW</t>
    <phoneticPr fontId="10"/>
  </si>
  <si>
    <t>単位</t>
    <rPh sb="0" eb="2">
      <t>タンイ</t>
    </rPh>
    <phoneticPr fontId="10"/>
  </si>
  <si>
    <t>B縦半裁機（ゴム胴単胴機）</t>
  </si>
  <si>
    <t>B縦半裁機（ゴム胴単胴機）</t>
    <phoneticPr fontId="10"/>
  </si>
  <si>
    <t>B縦四裁機（ゴム胴単胴機）</t>
    <phoneticPr fontId="10"/>
  </si>
  <si>
    <t>B縦半裁機（ゴム胴倍胴機）</t>
    <phoneticPr fontId="10"/>
  </si>
  <si>
    <t>B縦全判機（ゴム胴単胴機）</t>
  </si>
  <si>
    <t>B縦全判機（ゴム胴単胴機）</t>
    <phoneticPr fontId="10"/>
  </si>
  <si>
    <t>A横全判機（ゴム胴単胴機）</t>
    <phoneticPr fontId="10"/>
  </si>
  <si>
    <t>A横全判機（ゴム胴倍胴機）</t>
  </si>
  <si>
    <t>A横全判機（ゴム胴倍胴機）</t>
    <phoneticPr fontId="10"/>
  </si>
  <si>
    <t>A横倍判機（ゴム胴単胴機）</t>
  </si>
  <si>
    <t>A横倍判機（ゴム胴単胴機）</t>
    <phoneticPr fontId="10"/>
  </si>
  <si>
    <t>入力シート
原単位シート</t>
    <rPh sb="0" eb="2">
      <t>ニュウリョク</t>
    </rPh>
    <rPh sb="6" eb="9">
      <t>ゲンタンイ</t>
    </rPh>
    <phoneticPr fontId="10"/>
  </si>
  <si>
    <t>輪転時の場合、印刷機仕様を選ぶことで定格電力を自動で集計（第7版対応）</t>
    <rPh sb="0" eb="2">
      <t>リンテン</t>
    </rPh>
    <rPh sb="2" eb="3">
      <t>ジ</t>
    </rPh>
    <rPh sb="4" eb="6">
      <t>バアイ</t>
    </rPh>
    <rPh sb="7" eb="9">
      <t>インサツ</t>
    </rPh>
    <rPh sb="9" eb="10">
      <t>キ</t>
    </rPh>
    <rPh sb="10" eb="12">
      <t>シヨウ</t>
    </rPh>
    <rPh sb="13" eb="14">
      <t>エラ</t>
    </rPh>
    <rPh sb="18" eb="20">
      <t>テイカク</t>
    </rPh>
    <rPh sb="20" eb="22">
      <t>デンリョク</t>
    </rPh>
    <rPh sb="23" eb="25">
      <t>ジドウ</t>
    </rPh>
    <rPh sb="26" eb="28">
      <t>シュウケイ</t>
    </rPh>
    <rPh sb="29" eb="30">
      <t>ダイ</t>
    </rPh>
    <rPh sb="31" eb="32">
      <t>ハン</t>
    </rPh>
    <rPh sb="32" eb="34">
      <t>タイオウ</t>
    </rPh>
    <phoneticPr fontId="10"/>
  </si>
  <si>
    <t>輪転機と枚葉オフセットの印刷空調電力の原単位を別個に設定。（第7版対応）</t>
    <rPh sb="0" eb="3">
      <t>リンテンキ</t>
    </rPh>
    <rPh sb="4" eb="6">
      <t>マイヨウ</t>
    </rPh>
    <rPh sb="12" eb="14">
      <t>インサツ</t>
    </rPh>
    <rPh sb="14" eb="16">
      <t>クウチョウ</t>
    </rPh>
    <rPh sb="16" eb="18">
      <t>デンリョク</t>
    </rPh>
    <rPh sb="19" eb="22">
      <t>ゲンタンイ</t>
    </rPh>
    <rPh sb="23" eb="25">
      <t>ベッコ</t>
    </rPh>
    <rPh sb="26" eb="28">
      <t>セッテイ</t>
    </rPh>
    <rPh sb="30" eb="31">
      <t>ダイ</t>
    </rPh>
    <rPh sb="32" eb="33">
      <t>ハン</t>
    </rPh>
    <rPh sb="33" eb="35">
      <t>タイオウ</t>
    </rPh>
    <phoneticPr fontId="10"/>
  </si>
  <si>
    <t>輪転の場合も枚でカウントして問題なし。</t>
    <rPh sb="0" eb="2">
      <t>リンテン</t>
    </rPh>
    <rPh sb="3" eb="5">
      <t>バアイ</t>
    </rPh>
    <rPh sb="6" eb="7">
      <t>マイ</t>
    </rPh>
    <rPh sb="14" eb="16">
      <t>モンダイ</t>
    </rPh>
    <phoneticPr fontId="10"/>
  </si>
  <si>
    <t>本紙枚数+製本予備枚数</t>
    <phoneticPr fontId="10"/>
  </si>
  <si>
    <t>”個別製品情報シート”のE115の印刷電力について、TEC値はA4　1枚当たりの消費電力であるため、A3ノビの　枚数を掛けるだけでは間違いとなります。A3ノビ1枚からはA4を4枚印刷するので、4倍する必要があります</t>
    <phoneticPr fontId="10"/>
  </si>
  <si>
    <t>入力シート</t>
    <rPh sb="0" eb="2">
      <t>ニュウリョク</t>
    </rPh>
    <phoneticPr fontId="10"/>
  </si>
  <si>
    <t>納品先から最終消費者までの輸送のプルダウンがずれていたので修正</t>
    <rPh sb="29" eb="31">
      <t>シュウセイ</t>
    </rPh>
    <phoneticPr fontId="10"/>
  </si>
  <si>
    <t>全般</t>
    <rPh sb="0" eb="2">
      <t>ゼンパン</t>
    </rPh>
    <phoneticPr fontId="10"/>
  </si>
  <si>
    <t>入力しない項目をロック</t>
    <rPh sb="0" eb="2">
      <t>ニュウリョク</t>
    </rPh>
    <rPh sb="5" eb="7">
      <t>コウモク</t>
    </rPh>
    <phoneticPr fontId="10"/>
  </si>
  <si>
    <r>
      <rPr>
        <sz val="9"/>
        <rFont val="ＭＳ Ｐゴシック"/>
        <family val="3"/>
        <charset val="128"/>
      </rPr>
      <t>住所</t>
    </r>
    <r>
      <rPr>
        <sz val="11"/>
        <rFont val="ＭＳ Ｐゴシック"/>
        <family val="3"/>
        <charset val="128"/>
      </rPr>
      <t xml:space="preserve">
</t>
    </r>
    <r>
      <rPr>
        <sz val="9"/>
        <rFont val="ＭＳ Ｐゴシック"/>
        <family val="3"/>
        <charset val="128"/>
      </rPr>
      <t>（市区郡以下）</t>
    </r>
    <rPh sb="0" eb="2">
      <t>ジュウショ</t>
    </rPh>
    <phoneticPr fontId="10"/>
  </si>
  <si>
    <t>市内</t>
  </si>
  <si>
    <t>1-0</t>
    <phoneticPr fontId="10"/>
  </si>
  <si>
    <t>（注）ここに記載した企業がWEBサイトに登録される企業者（＝年間の登録公開料を支払う企業）となります。
印刷会社の名前とするか、印刷物の発注者の名前にするか、必ず事前に確認してください。</t>
    <rPh sb="6" eb="8">
      <t>キサイ</t>
    </rPh>
    <rPh sb="10" eb="12">
      <t>キギョウ</t>
    </rPh>
    <rPh sb="20" eb="22">
      <t>トウロク</t>
    </rPh>
    <rPh sb="25" eb="27">
      <t>キギョウ</t>
    </rPh>
    <rPh sb="27" eb="28">
      <t>シャ</t>
    </rPh>
    <rPh sb="30" eb="32">
      <t>ネンカン</t>
    </rPh>
    <rPh sb="33" eb="35">
      <t>トウロク</t>
    </rPh>
    <rPh sb="35" eb="37">
      <t>コウカイ</t>
    </rPh>
    <rPh sb="37" eb="38">
      <t>リョウ</t>
    </rPh>
    <rPh sb="39" eb="41">
      <t>シハラ</t>
    </rPh>
    <rPh sb="42" eb="44">
      <t>キギョウ</t>
    </rPh>
    <rPh sb="52" eb="54">
      <t>インサツ</t>
    </rPh>
    <rPh sb="54" eb="56">
      <t>ガイシャ</t>
    </rPh>
    <rPh sb="57" eb="59">
      <t>ナマエ</t>
    </rPh>
    <rPh sb="64" eb="67">
      <t>インサツブツ</t>
    </rPh>
    <rPh sb="68" eb="71">
      <t>ハッチュウシャ</t>
    </rPh>
    <rPh sb="72" eb="74">
      <t>ナマエ</t>
    </rPh>
    <rPh sb="79" eb="80">
      <t>カナラ</t>
    </rPh>
    <rPh sb="81" eb="83">
      <t>ジゼン</t>
    </rPh>
    <rPh sb="84" eb="86">
      <t>カクニン</t>
    </rPh>
    <phoneticPr fontId="10"/>
  </si>
  <si>
    <t>（注）黄色と白のセルは基本的に他のシートと何らかのリンクをしています。数値が入っている項目はCO2排出量があるものとして計算されます。不要な項目に0以外の数値が入っていると、算定結果のCO2排出量も大きく出てしまうので、必ず確認してください。</t>
    <rPh sb="3" eb="5">
      <t>キイロ</t>
    </rPh>
    <rPh sb="6" eb="7">
      <t>シロ</t>
    </rPh>
    <rPh sb="11" eb="14">
      <t>キホンテキ</t>
    </rPh>
    <rPh sb="15" eb="16">
      <t>ホカ</t>
    </rPh>
    <rPh sb="21" eb="22">
      <t>ナン</t>
    </rPh>
    <rPh sb="35" eb="37">
      <t>スウチ</t>
    </rPh>
    <rPh sb="38" eb="39">
      <t>ハイ</t>
    </rPh>
    <rPh sb="43" eb="45">
      <t>コウモク</t>
    </rPh>
    <rPh sb="49" eb="51">
      <t>ハイシュツ</t>
    </rPh>
    <rPh sb="51" eb="52">
      <t>リョウ</t>
    </rPh>
    <rPh sb="60" eb="62">
      <t>ケイサン</t>
    </rPh>
    <rPh sb="67" eb="69">
      <t>フヨウ</t>
    </rPh>
    <rPh sb="70" eb="72">
      <t>コウモク</t>
    </rPh>
    <rPh sb="74" eb="76">
      <t>イガイ</t>
    </rPh>
    <rPh sb="77" eb="79">
      <t>スウチ</t>
    </rPh>
    <rPh sb="80" eb="81">
      <t>ハイ</t>
    </rPh>
    <rPh sb="87" eb="89">
      <t>サンテイ</t>
    </rPh>
    <rPh sb="89" eb="91">
      <t>ケッカ</t>
    </rPh>
    <rPh sb="95" eb="97">
      <t>ハイシュツ</t>
    </rPh>
    <rPh sb="97" eb="98">
      <t>リョウ</t>
    </rPh>
    <rPh sb="99" eb="100">
      <t>オオ</t>
    </rPh>
    <rPh sb="102" eb="103">
      <t>デ</t>
    </rPh>
    <rPh sb="110" eb="111">
      <t>カナラ</t>
    </rPh>
    <rPh sb="112" eb="114">
      <t>カクニン</t>
    </rPh>
    <phoneticPr fontId="10"/>
  </si>
  <si>
    <t>（注）PDF化して公開することを前提としたシートです。文字の見切れがないかなど、読み手が見やすい表示となっていることを確認してください。
（登録情報シートは一部のセルを除き保護されています。自分で修正できない項目の場合は、事務局へお知らせください）</t>
    <rPh sb="1" eb="2">
      <t>チュウ</t>
    </rPh>
    <rPh sb="6" eb="7">
      <t>カ</t>
    </rPh>
    <rPh sb="9" eb="11">
      <t>コウカイ</t>
    </rPh>
    <rPh sb="16" eb="18">
      <t>ゼンテイ</t>
    </rPh>
    <rPh sb="27" eb="29">
      <t>モジ</t>
    </rPh>
    <rPh sb="30" eb="32">
      <t>ミキ</t>
    </rPh>
    <rPh sb="40" eb="41">
      <t>ヨ</t>
    </rPh>
    <rPh sb="42" eb="43">
      <t>テ</t>
    </rPh>
    <rPh sb="44" eb="45">
      <t>ミ</t>
    </rPh>
    <rPh sb="48" eb="50">
      <t>ヒョウジ</t>
    </rPh>
    <rPh sb="59" eb="61">
      <t>カクニン</t>
    </rPh>
    <rPh sb="70" eb="72">
      <t>トウロク</t>
    </rPh>
    <rPh sb="72" eb="74">
      <t>ジョウホウ</t>
    </rPh>
    <rPh sb="78" eb="80">
      <t>イチブ</t>
    </rPh>
    <rPh sb="84" eb="85">
      <t>ノゾ</t>
    </rPh>
    <rPh sb="86" eb="88">
      <t>ホゴ</t>
    </rPh>
    <rPh sb="95" eb="97">
      <t>ジブン</t>
    </rPh>
    <rPh sb="98" eb="100">
      <t>シュウセイ</t>
    </rPh>
    <rPh sb="104" eb="106">
      <t>コウモク</t>
    </rPh>
    <rPh sb="107" eb="109">
      <t>バアイ</t>
    </rPh>
    <rPh sb="111" eb="114">
      <t>ジムキョク</t>
    </rPh>
    <rPh sb="116" eb="117">
      <t>シ</t>
    </rPh>
    <phoneticPr fontId="10"/>
  </si>
  <si>
    <r>
      <t>「</t>
    </r>
    <r>
      <rPr>
        <sz val="10.5"/>
        <rFont val="ＭＳ Ｐゴシック"/>
        <family val="3"/>
        <charset val="128"/>
      </rPr>
      <t>1.2製品名称」は、検証対象製品の実態を適切に表現できているか。</t>
    </r>
    <phoneticPr fontId="10"/>
  </si>
  <si>
    <t>（注）対象製品が限定的な商品であるにもかかわらず、製品名称が一般的な名称となりすぎている場合は不適当と考えられます。（例：「東京印刷㈱　パンフレット」という名称だと、その会社が取り扱っているどんな内容のパンフレットなのかわからない）また、登録事業者名を印刷会社にする場合、必要に応じて製品名に発注者企業名を入れる等の工夫をしてください。</t>
    <rPh sb="59" eb="60">
      <t>レイ</t>
    </rPh>
    <rPh sb="62" eb="64">
      <t>トウキョウ</t>
    </rPh>
    <rPh sb="64" eb="66">
      <t>インサツ</t>
    </rPh>
    <rPh sb="78" eb="80">
      <t>メイショウ</t>
    </rPh>
    <rPh sb="85" eb="87">
      <t>カイシャ</t>
    </rPh>
    <rPh sb="88" eb="89">
      <t>ト</t>
    </rPh>
    <rPh sb="90" eb="91">
      <t>アツカ</t>
    </rPh>
    <rPh sb="98" eb="100">
      <t>ナイヨウ</t>
    </rPh>
    <rPh sb="119" eb="121">
      <t>トウロク</t>
    </rPh>
    <rPh sb="121" eb="124">
      <t>ジギョウシャ</t>
    </rPh>
    <rPh sb="124" eb="125">
      <t>メイ</t>
    </rPh>
    <rPh sb="126" eb="128">
      <t>インサツ</t>
    </rPh>
    <rPh sb="128" eb="130">
      <t>ガイシャ</t>
    </rPh>
    <rPh sb="133" eb="135">
      <t>バアイ</t>
    </rPh>
    <rPh sb="136" eb="138">
      <t>ヒツヨウ</t>
    </rPh>
    <rPh sb="139" eb="140">
      <t>オウ</t>
    </rPh>
    <rPh sb="142" eb="145">
      <t>セイヒンメイ</t>
    </rPh>
    <rPh sb="146" eb="149">
      <t>ハッチュウシャ</t>
    </rPh>
    <rPh sb="149" eb="151">
      <t>キギョウ</t>
    </rPh>
    <rPh sb="151" eb="152">
      <t>メイ</t>
    </rPh>
    <rPh sb="153" eb="154">
      <t>イ</t>
    </rPh>
    <rPh sb="156" eb="157">
      <t>ナド</t>
    </rPh>
    <rPh sb="158" eb="160">
      <t>クフウ</t>
    </rPh>
    <phoneticPr fontId="10"/>
  </si>
  <si>
    <r>
      <t>「</t>
    </r>
    <r>
      <rPr>
        <sz val="10.5"/>
        <rFont val="ＭＳ Ｐゴシック"/>
        <family val="3"/>
        <charset val="128"/>
      </rPr>
      <t>1.3製品の型式」は、検証を申請する特定の製品の型式となっているか。また、型式が存在しない場合は「-」となっているか。</t>
    </r>
    <phoneticPr fontId="10"/>
  </si>
  <si>
    <t>（注）印刷会社の名前／発注企業の名前、どちらにすることも可能です。費用負担と連動しますので、必ず確認してください。修正する場合は、入力シートの申請者情報欄を修正してください。</t>
    <rPh sb="3" eb="5">
      <t>インサツ</t>
    </rPh>
    <rPh sb="5" eb="7">
      <t>ガイシャ</t>
    </rPh>
    <rPh sb="8" eb="10">
      <t>ナマエ</t>
    </rPh>
    <rPh sb="11" eb="13">
      <t>ハッチュウ</t>
    </rPh>
    <rPh sb="13" eb="15">
      <t>キギョウ</t>
    </rPh>
    <rPh sb="16" eb="18">
      <t>ナマエ</t>
    </rPh>
    <rPh sb="28" eb="30">
      <t>カノウ</t>
    </rPh>
    <rPh sb="33" eb="35">
      <t>ヒヨウ</t>
    </rPh>
    <rPh sb="35" eb="37">
      <t>フタン</t>
    </rPh>
    <rPh sb="38" eb="40">
      <t>レンドウ</t>
    </rPh>
    <rPh sb="46" eb="47">
      <t>カナラ</t>
    </rPh>
    <rPh sb="48" eb="50">
      <t>カクニン</t>
    </rPh>
    <rPh sb="57" eb="59">
      <t>シュウセイ</t>
    </rPh>
    <rPh sb="61" eb="63">
      <t>バアイ</t>
    </rPh>
    <rPh sb="65" eb="67">
      <t>ニュウリョク</t>
    </rPh>
    <rPh sb="71" eb="74">
      <t>シンセイシャ</t>
    </rPh>
    <rPh sb="74" eb="76">
      <t>ジョウホウ</t>
    </rPh>
    <rPh sb="76" eb="77">
      <t>ラン</t>
    </rPh>
    <rPh sb="78" eb="80">
      <t>シュウセイ</t>
    </rPh>
    <phoneticPr fontId="10"/>
  </si>
  <si>
    <t>（注）番号がずれているケース、存在しない番号を参照しているケースが散見されるので注意すること。</t>
    <phoneticPr fontId="10"/>
  </si>
  <si>
    <t>（注）一般論として、用紙の調達と輸送の寄与率が高く、原材料調達段階が全体の6割以上、生産段階が1～2割を占める場合が多い。発送用の封筒を計上した場合、流通段階の数値が大きくなる、梱包材、段ボールなどの副資材の寄与率は低いケースが多い。といった傾向があります。
異常値と思われる場合は、個別製品情報入力シートの入力内容を再度確認してください。</t>
    <rPh sb="1" eb="2">
      <t>チュウ</t>
    </rPh>
    <rPh sb="3" eb="5">
      <t>イッパン</t>
    </rPh>
    <rPh sb="5" eb="6">
      <t>ロン</t>
    </rPh>
    <rPh sb="10" eb="12">
      <t>ヨウシ</t>
    </rPh>
    <rPh sb="13" eb="15">
      <t>チョウタツ</t>
    </rPh>
    <rPh sb="16" eb="18">
      <t>ユソウ</t>
    </rPh>
    <rPh sb="19" eb="22">
      <t>キヨリツ</t>
    </rPh>
    <rPh sb="23" eb="24">
      <t>タカ</t>
    </rPh>
    <rPh sb="26" eb="29">
      <t>ゲンザイリョウ</t>
    </rPh>
    <rPh sb="29" eb="31">
      <t>チョウタツ</t>
    </rPh>
    <rPh sb="31" eb="33">
      <t>ダンカイ</t>
    </rPh>
    <rPh sb="34" eb="36">
      <t>ゼンタイ</t>
    </rPh>
    <rPh sb="38" eb="39">
      <t>ワリ</t>
    </rPh>
    <rPh sb="39" eb="41">
      <t>イジョウ</t>
    </rPh>
    <rPh sb="42" eb="44">
      <t>セイサン</t>
    </rPh>
    <rPh sb="44" eb="46">
      <t>ダンカイ</t>
    </rPh>
    <rPh sb="50" eb="51">
      <t>ワリ</t>
    </rPh>
    <rPh sb="52" eb="53">
      <t>シ</t>
    </rPh>
    <rPh sb="55" eb="57">
      <t>バアイ</t>
    </rPh>
    <rPh sb="58" eb="59">
      <t>オオ</t>
    </rPh>
    <rPh sb="61" eb="64">
      <t>ハッソウヨウ</t>
    </rPh>
    <rPh sb="65" eb="67">
      <t>フウトウ</t>
    </rPh>
    <rPh sb="68" eb="70">
      <t>ケイジョウ</t>
    </rPh>
    <rPh sb="72" eb="74">
      <t>バアイ</t>
    </rPh>
    <rPh sb="75" eb="77">
      <t>リュウツウ</t>
    </rPh>
    <rPh sb="77" eb="79">
      <t>ダンカイ</t>
    </rPh>
    <rPh sb="80" eb="82">
      <t>スウチ</t>
    </rPh>
    <rPh sb="83" eb="84">
      <t>オオ</t>
    </rPh>
    <rPh sb="89" eb="91">
      <t>コンポウ</t>
    </rPh>
    <rPh sb="91" eb="92">
      <t>ザイ</t>
    </rPh>
    <rPh sb="93" eb="94">
      <t>ダン</t>
    </rPh>
    <rPh sb="100" eb="103">
      <t>フクシザイ</t>
    </rPh>
    <rPh sb="104" eb="106">
      <t>キヨ</t>
    </rPh>
    <rPh sb="106" eb="107">
      <t>リツ</t>
    </rPh>
    <rPh sb="108" eb="109">
      <t>ヒク</t>
    </rPh>
    <rPh sb="114" eb="115">
      <t>オオ</t>
    </rPh>
    <rPh sb="121" eb="123">
      <t>ケイコウ</t>
    </rPh>
    <rPh sb="130" eb="132">
      <t>イジョウ</t>
    </rPh>
    <rPh sb="132" eb="133">
      <t>チ</t>
    </rPh>
    <rPh sb="134" eb="135">
      <t>オモ</t>
    </rPh>
    <rPh sb="138" eb="140">
      <t>バアイ</t>
    </rPh>
    <rPh sb="142" eb="144">
      <t>コベツ</t>
    </rPh>
    <rPh sb="144" eb="146">
      <t>セイヒン</t>
    </rPh>
    <rPh sb="146" eb="148">
      <t>ジョウホウ</t>
    </rPh>
    <rPh sb="148" eb="150">
      <t>ニュウリョク</t>
    </rPh>
    <rPh sb="154" eb="156">
      <t>ニュウリョク</t>
    </rPh>
    <rPh sb="156" eb="158">
      <t>ナイヨウ</t>
    </rPh>
    <rPh sb="159" eb="161">
      <t>サイド</t>
    </rPh>
    <rPh sb="161" eb="163">
      <t>カクニン</t>
    </rPh>
    <phoneticPr fontId="10"/>
  </si>
  <si>
    <t>本資料は、作成された印刷物のCFP検証申請書の事前のセルフチェック用のツールとして用意するものです。CFP検証を希望される事業者の方はチェック済みの本資料を「CFP検証申請書」とともに提出して頂きますようお願い申し上げます。</t>
    <rPh sb="10" eb="13">
      <t>インサツブツ</t>
    </rPh>
    <rPh sb="17" eb="19">
      <t>ケンショウ</t>
    </rPh>
    <rPh sb="19" eb="21">
      <t>シンセイ</t>
    </rPh>
    <rPh sb="21" eb="22">
      <t>ショ</t>
    </rPh>
    <rPh sb="53" eb="55">
      <t>ケンショウ</t>
    </rPh>
    <rPh sb="82" eb="84">
      <t>ケンショウ</t>
    </rPh>
    <phoneticPr fontId="10"/>
  </si>
  <si>
    <t>PS版原単位一覧</t>
    <rPh sb="2" eb="3">
      <t>バン</t>
    </rPh>
    <rPh sb="3" eb="6">
      <t>ゲンタンイ</t>
    </rPh>
    <rPh sb="6" eb="8">
      <t>イチラン</t>
    </rPh>
    <phoneticPr fontId="10"/>
  </si>
  <si>
    <t>紙サイズ</t>
    <rPh sb="0" eb="1">
      <t>カミ</t>
    </rPh>
    <phoneticPr fontId="10"/>
  </si>
  <si>
    <t>枚葉オフセット・両面機</t>
  </si>
  <si>
    <t>富士ﾌｲﾙﾑ現像ありPS版（0.20㎜）100％ﾘｻｲｸﾙｱﾙﾐ</t>
    <rPh sb="0" eb="2">
      <t>フジ</t>
    </rPh>
    <rPh sb="12" eb="13">
      <t>バン</t>
    </rPh>
    <phoneticPr fontId="10"/>
  </si>
  <si>
    <t>富士ﾌｲﾙﾑ現像ありPS版（0.30㎜）100％ﾘｻｲｸﾙｱﾙﾐ</t>
    <rPh sb="0" eb="2">
      <t>フジ</t>
    </rPh>
    <rPh sb="12" eb="13">
      <t>バン</t>
    </rPh>
    <phoneticPr fontId="10"/>
  </si>
  <si>
    <t>ＣＲ-ＡＦ04-12004-A</t>
    <phoneticPr fontId="10"/>
  </si>
  <si>
    <t>ＣＲ-ＡＦ04-12005-A</t>
  </si>
  <si>
    <t>ＣＲ-ＡＦ04-12005-A</t>
    <phoneticPr fontId="10"/>
  </si>
  <si>
    <t>富士ﾌｲﾙﾑ現像なしPS版（0.20㎜）100％ﾘｻｲｸﾙｱﾙﾐ</t>
    <rPh sb="0" eb="2">
      <t>フジ</t>
    </rPh>
    <rPh sb="12" eb="13">
      <t>バン</t>
    </rPh>
    <phoneticPr fontId="10"/>
  </si>
  <si>
    <t>富士ﾌｲﾙﾑ現像なしPS版（0.30㎜）100％ﾘｻｲｸﾙｱﾙﾐ</t>
    <rPh sb="0" eb="2">
      <t>フジ</t>
    </rPh>
    <rPh sb="12" eb="13">
      <t>バン</t>
    </rPh>
    <phoneticPr fontId="10"/>
  </si>
  <si>
    <t>東レ水なし平板（0.15㎜）</t>
    <rPh sb="0" eb="1">
      <t>トウ</t>
    </rPh>
    <rPh sb="2" eb="3">
      <t>ミズ</t>
    </rPh>
    <rPh sb="5" eb="7">
      <t>ヘイバン</t>
    </rPh>
    <phoneticPr fontId="10"/>
  </si>
  <si>
    <t>東レ水なし平板（0.24㎜）</t>
    <rPh sb="0" eb="1">
      <t>トウ</t>
    </rPh>
    <rPh sb="2" eb="3">
      <t>ミズ</t>
    </rPh>
    <rPh sb="5" eb="7">
      <t>ヘイバン</t>
    </rPh>
    <phoneticPr fontId="10"/>
  </si>
  <si>
    <r>
      <t>PS</t>
    </r>
    <r>
      <rPr>
        <sz val="11"/>
        <color indexed="8"/>
        <rFont val="ＭＳ Ｐゴシック"/>
        <family val="3"/>
        <charset val="128"/>
      </rPr>
      <t>版（0.4㎜・使用含む）</t>
    </r>
    <rPh sb="2" eb="3">
      <t>バン</t>
    </rPh>
    <rPh sb="9" eb="11">
      <t>シヨウ</t>
    </rPh>
    <rPh sb="11" eb="12">
      <t>フク</t>
    </rPh>
    <phoneticPr fontId="29"/>
  </si>
  <si>
    <t>東レ水なし平板（0.3㎜）</t>
    <rPh sb="0" eb="1">
      <t>トウ</t>
    </rPh>
    <rPh sb="2" eb="3">
      <t>ミズ</t>
    </rPh>
    <rPh sb="5" eb="7">
      <t>ヘイバン</t>
    </rPh>
    <phoneticPr fontId="10"/>
  </si>
  <si>
    <t>東レ水なし平板（0.4㎜）</t>
    <rPh sb="0" eb="1">
      <t>トウ</t>
    </rPh>
    <rPh sb="2" eb="3">
      <t>ミズ</t>
    </rPh>
    <rPh sb="5" eb="7">
      <t>ヘイバン</t>
    </rPh>
    <phoneticPr fontId="10"/>
  </si>
  <si>
    <t>富士ﾌｲﾙﾑ現像ありPS版（0.15㎜）一部ﾘｻｲｸﾙｱﾙﾐ</t>
    <rPh sb="0" eb="2">
      <t>フジ</t>
    </rPh>
    <rPh sb="6" eb="8">
      <t>ゲンゾウ</t>
    </rPh>
    <rPh sb="12" eb="13">
      <t>バン</t>
    </rPh>
    <rPh sb="20" eb="22">
      <t>イチブ</t>
    </rPh>
    <phoneticPr fontId="10"/>
  </si>
  <si>
    <t>富士ﾌｲﾙﾑ現像ありPS版（0.20㎜）一部ﾘｻｲｸﾙｱﾙﾐ</t>
    <rPh sb="0" eb="2">
      <t>フジ</t>
    </rPh>
    <rPh sb="12" eb="13">
      <t>バン</t>
    </rPh>
    <rPh sb="20" eb="22">
      <t>イチブ</t>
    </rPh>
    <phoneticPr fontId="10"/>
  </si>
  <si>
    <t>富士ﾌｲﾙﾑ現像ありPS版（0.24㎜）一部ﾘｻｲｸﾙｱﾙﾐ</t>
    <rPh sb="0" eb="2">
      <t>フジ</t>
    </rPh>
    <rPh sb="12" eb="13">
      <t>バン</t>
    </rPh>
    <rPh sb="20" eb="22">
      <t>イチブ</t>
    </rPh>
    <phoneticPr fontId="10"/>
  </si>
  <si>
    <t>富士ﾌｲﾙﾑ現像ありPS版（0.30㎜）一部ﾘｻｲｸﾙｱﾙﾐ</t>
    <rPh sb="0" eb="2">
      <t>フジ</t>
    </rPh>
    <rPh sb="12" eb="13">
      <t>バン</t>
    </rPh>
    <rPh sb="20" eb="22">
      <t>イチブ</t>
    </rPh>
    <phoneticPr fontId="10"/>
  </si>
  <si>
    <t>富士ﾌｲﾙﾑ現像ありPS版（0.40㎜）一部ﾘｻｲｸﾙｱﾙﾐ</t>
    <rPh sb="0" eb="2">
      <t>フジ</t>
    </rPh>
    <rPh sb="12" eb="13">
      <t>バン</t>
    </rPh>
    <rPh sb="20" eb="22">
      <t>イチブ</t>
    </rPh>
    <phoneticPr fontId="10"/>
  </si>
  <si>
    <t>富士ﾌｲﾙﾑ現像なしPS版（0.15㎜）一部ﾘｻｲｸﾙｱﾙﾐ</t>
    <rPh sb="0" eb="2">
      <t>フジ</t>
    </rPh>
    <rPh sb="6" eb="8">
      <t>ゲンゾウ</t>
    </rPh>
    <rPh sb="12" eb="13">
      <t>バン</t>
    </rPh>
    <rPh sb="20" eb="22">
      <t>イチブ</t>
    </rPh>
    <phoneticPr fontId="10"/>
  </si>
  <si>
    <t>富士ﾌｲﾙﾑ現像なしPS版（0.20㎜）一部ﾘｻｲｸﾙｱﾙﾐ</t>
    <rPh sb="0" eb="2">
      <t>フジ</t>
    </rPh>
    <rPh sb="12" eb="13">
      <t>バン</t>
    </rPh>
    <rPh sb="20" eb="22">
      <t>イチブ</t>
    </rPh>
    <phoneticPr fontId="10"/>
  </si>
  <si>
    <t>富士ﾌｲﾙﾑ現像なしPS版（0.24㎜）一部ﾘｻｲｸﾙｱﾙﾐ</t>
    <rPh sb="0" eb="2">
      <t>フジ</t>
    </rPh>
    <rPh sb="12" eb="13">
      <t>バン</t>
    </rPh>
    <rPh sb="20" eb="22">
      <t>イチブ</t>
    </rPh>
    <phoneticPr fontId="10"/>
  </si>
  <si>
    <t>富士ﾌｲﾙﾑ現像なしPS版（0.30㎜）一部ﾘｻｲｸﾙｱﾙﾐ</t>
    <rPh sb="0" eb="2">
      <t>フジ</t>
    </rPh>
    <rPh sb="12" eb="13">
      <t>バン</t>
    </rPh>
    <rPh sb="20" eb="22">
      <t>イチブ</t>
    </rPh>
    <phoneticPr fontId="10"/>
  </si>
  <si>
    <t>富士ﾌｲﾙﾑ現像なしPS版（0.40㎜）一部ﾘｻｲｸﾙｱﾙﾐ</t>
    <rPh sb="0" eb="2">
      <t>フジ</t>
    </rPh>
    <rPh sb="12" eb="13">
      <t>バン</t>
    </rPh>
    <rPh sb="20" eb="22">
      <t>イチブ</t>
    </rPh>
    <phoneticPr fontId="10"/>
  </si>
  <si>
    <t>富士ﾌｲﾙﾑ現像ありPS版（0.15㎜）100％ﾘｻｲｸﾙｱﾙﾐ</t>
    <rPh sb="0" eb="2">
      <t>フジ</t>
    </rPh>
    <rPh sb="12" eb="13">
      <t>バン</t>
    </rPh>
    <phoneticPr fontId="10"/>
  </si>
  <si>
    <t>富士ﾌｲﾙﾑ現像ありPS版（0.24㎜）100％ﾘｻｲｸﾙｱﾙﾐ</t>
    <rPh sb="0" eb="2">
      <t>フジ</t>
    </rPh>
    <rPh sb="12" eb="13">
      <t>バン</t>
    </rPh>
    <phoneticPr fontId="10"/>
  </si>
  <si>
    <t>富士ﾌｲﾙﾑ現像なしPS版（0.24㎜）100％ﾘｻｲｸﾙｱﾙﾐ</t>
    <rPh sb="0" eb="2">
      <t>フジ</t>
    </rPh>
    <rPh sb="12" eb="13">
      <t>バン</t>
    </rPh>
    <phoneticPr fontId="10"/>
  </si>
  <si>
    <t>富士ﾌｲﾙﾑ現像なしPS版（0.40㎜）100％ﾘｻｲｸﾙｱﾙﾐ</t>
    <rPh sb="0" eb="2">
      <t>フジ</t>
    </rPh>
    <rPh sb="12" eb="13">
      <t>バン</t>
    </rPh>
    <phoneticPr fontId="10"/>
  </si>
  <si>
    <t>富士ﾌｲﾙﾑ現像ありPS版（0.40㎜）100％ﾘｻｲｸﾙｱﾙﾐ</t>
    <rPh sb="0" eb="2">
      <t>フジ</t>
    </rPh>
    <rPh sb="12" eb="13">
      <t>バン</t>
    </rPh>
    <phoneticPr fontId="10"/>
  </si>
  <si>
    <t>富士ﾌｲﾙﾑ現像なしPS版（0.15㎜）100％ﾘｻｲｸﾙｱﾙﾐ</t>
    <rPh sb="0" eb="2">
      <t>フジ</t>
    </rPh>
    <rPh sb="12" eb="13">
      <t>バン</t>
    </rPh>
    <phoneticPr fontId="10"/>
  </si>
  <si>
    <t>入力シート</t>
    <rPh sb="0" eb="2">
      <t>ニュウリョク</t>
    </rPh>
    <phoneticPr fontId="10"/>
  </si>
  <si>
    <t>古いWINDOWSだとプルダウンが表示されない</t>
    <rPh sb="0" eb="1">
      <t>フル</t>
    </rPh>
    <rPh sb="17" eb="19">
      <t>ヒョウジ</t>
    </rPh>
    <phoneticPr fontId="10"/>
  </si>
  <si>
    <t>プルダウンは同じシートの中で完結させないと機能しない。リンク先を修正。</t>
    <rPh sb="6" eb="7">
      <t>オナ</t>
    </rPh>
    <rPh sb="12" eb="13">
      <t>ナカ</t>
    </rPh>
    <rPh sb="14" eb="16">
      <t>カンケツ</t>
    </rPh>
    <rPh sb="21" eb="23">
      <t>キノウ</t>
    </rPh>
    <rPh sb="30" eb="31">
      <t>サキ</t>
    </rPh>
    <rPh sb="32" eb="34">
      <t>シュウセイ</t>
    </rPh>
    <phoneticPr fontId="10"/>
  </si>
  <si>
    <t>富士フィルム、現像工程なしの原単位を追加</t>
    <rPh sb="0" eb="2">
      <t>フジ</t>
    </rPh>
    <rPh sb="7" eb="9">
      <t>ゲンゾウ</t>
    </rPh>
    <rPh sb="9" eb="11">
      <t>コウテイ</t>
    </rPh>
    <rPh sb="14" eb="17">
      <t>ゲンタンイ</t>
    </rPh>
    <rPh sb="18" eb="20">
      <t>ツイカ</t>
    </rPh>
    <phoneticPr fontId="10"/>
  </si>
  <si>
    <t>対応済み</t>
    <rPh sb="0" eb="2">
      <t>タイオウ</t>
    </rPh>
    <rPh sb="2" eb="3">
      <t>ズ</t>
    </rPh>
    <phoneticPr fontId="10"/>
  </si>
  <si>
    <t>発行</t>
    <rPh sb="0" eb="2">
      <t>ハッコウ</t>
    </rPh>
    <phoneticPr fontId="10"/>
  </si>
  <si>
    <t>変更履歴等</t>
    <rPh sb="0" eb="2">
      <t>ヘンコウ</t>
    </rPh>
    <rPh sb="2" eb="4">
      <t>リレキ</t>
    </rPh>
    <rPh sb="4" eb="5">
      <t>ナド</t>
    </rPh>
    <phoneticPr fontId="10"/>
  </si>
  <si>
    <t>２．「(1)検証申請書」シートのチェックリスト</t>
    <phoneticPr fontId="10"/>
  </si>
  <si>
    <r>
      <t>３．「(2)</t>
    </r>
    <r>
      <rPr>
        <sz val="10.5"/>
        <rFont val="ＭＳ Ｐゴシック"/>
        <family val="3"/>
        <charset val="128"/>
      </rPr>
      <t>登録情報」シートのチェックリスト</t>
    </r>
    <rPh sb="6" eb="8">
      <t>トウロク</t>
    </rPh>
    <phoneticPr fontId="10"/>
  </si>
  <si>
    <t>2-1</t>
    <phoneticPr fontId="10"/>
  </si>
  <si>
    <t>2-2</t>
    <phoneticPr fontId="10"/>
  </si>
  <si>
    <t>3-1</t>
    <phoneticPr fontId="10"/>
  </si>
  <si>
    <t>3-2</t>
    <phoneticPr fontId="10"/>
  </si>
  <si>
    <t>3-3</t>
    <phoneticPr fontId="10"/>
  </si>
  <si>
    <t>3-4</t>
    <phoneticPr fontId="10"/>
  </si>
  <si>
    <t>3-5</t>
    <phoneticPr fontId="10"/>
  </si>
  <si>
    <t>3-8</t>
    <phoneticPr fontId="10"/>
  </si>
  <si>
    <t>3-9</t>
    <phoneticPr fontId="10"/>
  </si>
  <si>
    <t>3-10</t>
    <phoneticPr fontId="10"/>
  </si>
  <si>
    <t>3-11</t>
    <phoneticPr fontId="10"/>
  </si>
  <si>
    <t>3-17</t>
    <phoneticPr fontId="10"/>
  </si>
  <si>
    <t>4-2</t>
    <phoneticPr fontId="10"/>
  </si>
  <si>
    <t>5-2</t>
    <phoneticPr fontId="10"/>
  </si>
  <si>
    <t>登録情報</t>
    <rPh sb="0" eb="2">
      <t>トウロク</t>
    </rPh>
    <rPh sb="2" eb="4">
      <t>ジョウホウ</t>
    </rPh>
    <phoneticPr fontId="10"/>
  </si>
  <si>
    <t>1.3　製品型式　「サイズ・ページ」の後に「（片面）」が印字されているので削除</t>
    <phoneticPr fontId="10"/>
  </si>
  <si>
    <t>1.4　主要仕様・諸言、「ページの配置数」ではなく「製品ページ数」に修正</t>
    <phoneticPr fontId="10"/>
  </si>
  <si>
    <t>3.3　数値表示　3桁になってしまっていたので、2桁に丸めるよう修正</t>
    <phoneticPr fontId="10"/>
  </si>
  <si>
    <t>4.1　解釈　原材料調達段階の％を3.3の数値の比率からリンクさせるように修正数値（グラフの表記とあわせる）</t>
    <phoneticPr fontId="10"/>
  </si>
  <si>
    <t>チェックシート</t>
    <phoneticPr fontId="10"/>
  </si>
  <si>
    <t>チェックシートの「1.」が2つある</t>
    <phoneticPr fontId="10"/>
  </si>
  <si>
    <t>チェックシートの2番目の「1.」で、「1-1」と「1-2」のチェック欄が選択できない。</t>
    <phoneticPr fontId="10"/>
  </si>
  <si>
    <t>対応済み</t>
    <rPh sb="0" eb="2">
      <t>タイオウ</t>
    </rPh>
    <rPh sb="2" eb="3">
      <t>ズ</t>
    </rPh>
    <phoneticPr fontId="10"/>
  </si>
  <si>
    <t>改訂版発行</t>
    <rPh sb="0" eb="2">
      <t>カイテイ</t>
    </rPh>
    <rPh sb="2" eb="3">
      <t>バン</t>
    </rPh>
    <rPh sb="3" eb="5">
      <t>ハッコウ</t>
    </rPh>
    <phoneticPr fontId="10"/>
  </si>
  <si>
    <t>納品先から最終消費者までの輸送（工場から直接最終消費者に送る場合はここで計上する。直送で距離が不明の場合は「全国」を選択してください。</t>
    <rPh sb="0" eb="2">
      <t>ノウヒン</t>
    </rPh>
    <rPh sb="2" eb="3">
      <t>サキ</t>
    </rPh>
    <rPh sb="5" eb="7">
      <t>サイシュウ</t>
    </rPh>
    <rPh sb="7" eb="10">
      <t>ショウヒシャ</t>
    </rPh>
    <rPh sb="13" eb="15">
      <t>ユソウ</t>
    </rPh>
    <rPh sb="16" eb="18">
      <t>コウジョウ</t>
    </rPh>
    <rPh sb="20" eb="22">
      <t>チョクセツ</t>
    </rPh>
    <rPh sb="22" eb="24">
      <t>サイシュウ</t>
    </rPh>
    <rPh sb="24" eb="27">
      <t>ショウヒシャ</t>
    </rPh>
    <rPh sb="28" eb="29">
      <t>オク</t>
    </rPh>
    <rPh sb="30" eb="32">
      <t>バアイ</t>
    </rPh>
    <rPh sb="36" eb="38">
      <t>ケイジョウ</t>
    </rPh>
    <rPh sb="41" eb="43">
      <t>チョクソウ</t>
    </rPh>
    <rPh sb="44" eb="46">
      <t>キョリ</t>
    </rPh>
    <rPh sb="47" eb="49">
      <t>フメイ</t>
    </rPh>
    <rPh sb="50" eb="52">
      <t>バアイ</t>
    </rPh>
    <rPh sb="54" eb="56">
      <t>ゼンコク</t>
    </rPh>
    <rPh sb="58" eb="60">
      <t>センタク</t>
    </rPh>
    <phoneticPr fontId="10"/>
  </si>
  <si>
    <t>四六半裁</t>
    <rPh sb="0" eb="2">
      <t>ヨンロク</t>
    </rPh>
    <rPh sb="2" eb="4">
      <t>ハンサイ</t>
    </rPh>
    <phoneticPr fontId="10"/>
  </si>
  <si>
    <t>無線綴じ</t>
  </si>
  <si>
    <t>原単位シート「四六半裁」の誤字によりリンクができない。</t>
    <rPh sb="0" eb="3">
      <t>ゲンタンイ</t>
    </rPh>
    <rPh sb="7" eb="9">
      <t>ヨンロク</t>
    </rPh>
    <rPh sb="9" eb="11">
      <t>ハンサイ</t>
    </rPh>
    <rPh sb="13" eb="15">
      <t>ゴジ</t>
    </rPh>
    <phoneticPr fontId="10"/>
  </si>
  <si>
    <t>修正済み</t>
    <rPh sb="0" eb="2">
      <t>シュウセイ</t>
    </rPh>
    <rPh sb="2" eb="3">
      <t>ズ</t>
    </rPh>
    <phoneticPr fontId="10"/>
  </si>
  <si>
    <t>原単位シート</t>
    <rPh sb="0" eb="3">
      <t>ゲンタンイ</t>
    </rPh>
    <phoneticPr fontId="10"/>
  </si>
  <si>
    <t>B半裁を使うとその他原材料の数値がおかしくなる。</t>
    <rPh sb="1" eb="3">
      <t>ハンサイ</t>
    </rPh>
    <rPh sb="4" eb="5">
      <t>ツカ</t>
    </rPh>
    <rPh sb="9" eb="10">
      <t>タ</t>
    </rPh>
    <rPh sb="10" eb="13">
      <t>ゲンザイリョウ</t>
    </rPh>
    <rPh sb="14" eb="16">
      <t>スウチ</t>
    </rPh>
    <phoneticPr fontId="10"/>
  </si>
  <si>
    <t>登録情報</t>
    <rPh sb="0" eb="2">
      <t>トウロク</t>
    </rPh>
    <rPh sb="2" eb="4">
      <t>ジョウホウ</t>
    </rPh>
    <phoneticPr fontId="10"/>
  </si>
  <si>
    <t>有効桁2桁への丸めがうまくできていない。</t>
    <rPh sb="0" eb="2">
      <t>ユウコウ</t>
    </rPh>
    <rPh sb="2" eb="3">
      <t>ケタ</t>
    </rPh>
    <rPh sb="4" eb="5">
      <t>ケタ</t>
    </rPh>
    <rPh sb="7" eb="8">
      <t>マル</t>
    </rPh>
    <phoneticPr fontId="10"/>
  </si>
  <si>
    <t>改訂版発行</t>
    <rPh sb="0" eb="2">
      <t>カイテイ</t>
    </rPh>
    <rPh sb="2" eb="3">
      <t>バン</t>
    </rPh>
    <rPh sb="3" eb="5">
      <t>ハッコウ</t>
    </rPh>
    <phoneticPr fontId="10"/>
  </si>
  <si>
    <t>PCR原単位および公開済みCFPのあるものは優先して利用し、基本データベースver1.01、利用可能データ（国内）ver1.04で補完した。</t>
    <rPh sb="3" eb="6">
      <t>ゲンタンイ</t>
    </rPh>
    <rPh sb="9" eb="11">
      <t>コウカイ</t>
    </rPh>
    <rPh sb="11" eb="12">
      <t>ズ</t>
    </rPh>
    <rPh sb="22" eb="24">
      <t>ユウセン</t>
    </rPh>
    <rPh sb="26" eb="28">
      <t>リヨウ</t>
    </rPh>
    <rPh sb="30" eb="32">
      <t>キホン</t>
    </rPh>
    <rPh sb="46" eb="48">
      <t>リヨウ</t>
    </rPh>
    <rPh sb="48" eb="50">
      <t>カノウ</t>
    </rPh>
    <rPh sb="54" eb="56">
      <t>コクナイ</t>
    </rPh>
    <rPh sb="65" eb="67">
      <t>ホカン</t>
    </rPh>
    <phoneticPr fontId="10"/>
  </si>
  <si>
    <t>改訂版発行</t>
    <rPh sb="0" eb="2">
      <t>カイテイ</t>
    </rPh>
    <rPh sb="2" eb="3">
      <t>バン</t>
    </rPh>
    <rPh sb="3" eb="5">
      <t>ハッコウ</t>
    </rPh>
    <phoneticPr fontId="10"/>
  </si>
  <si>
    <t>登録情報</t>
    <rPh sb="0" eb="2">
      <t>トウロク</t>
    </rPh>
    <rPh sb="2" eb="4">
      <t>ジョウホウ</t>
    </rPh>
    <phoneticPr fontId="10"/>
  </si>
  <si>
    <t>5.3利用した二次データの考え方欄、3EID原単位の使用を削除</t>
    <rPh sb="16" eb="17">
      <t>ラン</t>
    </rPh>
    <rPh sb="22" eb="25">
      <t>ゲンタンイ</t>
    </rPh>
    <rPh sb="26" eb="28">
      <t>シヨウ</t>
    </rPh>
    <rPh sb="29" eb="31">
      <t>サクジョ</t>
    </rPh>
    <phoneticPr fontId="10"/>
  </si>
  <si>
    <t>修正済み</t>
    <rPh sb="0" eb="2">
      <t>シュウセイ</t>
    </rPh>
    <rPh sb="2" eb="3">
      <t>ズ</t>
    </rPh>
    <phoneticPr fontId="10"/>
  </si>
  <si>
    <t>一般社団法人
サステナブル経営推進機構</t>
    <rPh sb="0" eb="2">
      <t>イッパン</t>
    </rPh>
    <rPh sb="2" eb="6">
      <t>シャダンホウジン</t>
    </rPh>
    <rPh sb="13" eb="19">
      <t>ケイエイスイシンキコウ</t>
    </rPh>
    <phoneticPr fontId="10"/>
  </si>
  <si>
    <t>発行年月日：2019/11/19</t>
    <rPh sb="0" eb="2">
      <t>ハッコウ</t>
    </rPh>
    <rPh sb="2" eb="5">
      <t>ネンガッピ</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</si>
</sst>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76" formatCode="0.000_ "/>
    <numFmt numFmtId="177" formatCode="#,##0;\-#,##0;&quot;-&quot;"/>
    <numFmt numFmtId="178" formatCode="_(&quot;$&quot;* #,##0_);_(&quot;$&quot;* \(#,##0\);_(&quot;$&quot;* &quot;-&quot;_);_(@_)"/>
    <numFmt numFmtId="179" formatCode="_(&quot;$&quot;* #,##0.00_);_(&quot;$&quot;* \(#,##0.00\);_(&quot;$&quot;* &quot;-&quot;??_);_(@_)"/>
    <numFmt numFmtId="180" formatCode="_-* #,##0&quot;¥&quot;\!\ _F_-;&quot;¥&quot;\!\-* #,##0&quot;¥&quot;\!\ _F_-;_-* &quot;-&quot;&quot;¥&quot;\!\ _F_-;_-@_-"/>
    <numFmt numFmtId="181" formatCode="_ * #,##0.00_ ;_ * &quot;¥&quot;\!\-#,##0.00_ ;_ * &quot;-&quot;??_ ;_ @_ "/>
    <numFmt numFmtId="182" formatCode="_ * #,##0_ ;_ * &quot;¥&quot;\!\-#,##0_ ;_ * &quot;-&quot;_ ;_ @_ "/>
    <numFmt numFmtId="183" formatCode="#,##0.0&quot;人月&quot;"/>
    <numFmt numFmtId="184" formatCode="&quot;¥&quot;#,##0.00;[Red]&quot;¥&quot;&quot;¥&quot;\!\-#,##0.00"/>
    <numFmt numFmtId="185" formatCode="&quot;¥&quot;#,##0;[Red]&quot;¥&quot;&quot;¥&quot;\!\-#,##0"/>
    <numFmt numFmtId="186" formatCode="[Blue][&gt;100]#,##0.0;[Red][&lt;95]#,##0.0;General"/>
    <numFmt numFmtId="187" formatCode="[Blue][&gt;100]#,##0.0;[Red][&lt;95]#,##0.0;0.0"/>
    <numFmt numFmtId="188" formatCode="0_);[Red]\(0\)"/>
    <numFmt numFmtId="189" formatCode="#,##0.000;[Red]\-#,##0.000"/>
    <numFmt numFmtId="190" formatCode="0.0%"/>
    <numFmt numFmtId="191" formatCode="0.00.E+00"/>
    <numFmt numFmtId="192" formatCode="0_ "/>
    <numFmt numFmtId="193" formatCode="0.00000.E+00"/>
    <numFmt numFmtId="194" formatCode="#,##0.0000;[Red]\-#,##0.0000"/>
    <numFmt numFmtId="195" formatCode="#,##0.0000000;[Red]\-#,##0.0000000"/>
    <numFmt numFmtId="196" formatCode="#,##0.00000000000;[Red]\-#,##0.00000000000"/>
    <numFmt numFmtId="197" formatCode="0.00_ "/>
    <numFmt numFmtId="198" formatCode="yyyy/m/d;@"/>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8"/>
      <name val="HG丸ｺﾞｼｯｸM-PRO"/>
      <family val="3"/>
      <charset val="128"/>
    </font>
    <font>
      <sz val="11"/>
      <color indexed="8"/>
      <name val="ＭＳ Ｐゴシック"/>
      <family val="3"/>
      <charset val="128"/>
    </font>
    <font>
      <sz val="9"/>
      <name val="ＭＳ Ｐゴシック"/>
      <family val="3"/>
      <charset val="128"/>
    </font>
    <font>
      <b/>
      <sz val="11"/>
      <color indexed="10"/>
      <name val="ＭＳ Ｐゴシック"/>
      <family val="3"/>
      <charset val="128"/>
    </font>
    <font>
      <b/>
      <sz val="11"/>
      <name val="ＭＳ Ｐゴシック"/>
      <family val="3"/>
      <charset val="128"/>
    </font>
    <font>
      <b/>
      <sz val="12"/>
      <name val="Arial"/>
      <family val="2"/>
    </font>
    <font>
      <sz val="10"/>
      <name val="Arial"/>
      <family val="2"/>
    </font>
    <font>
      <i/>
      <sz val="11"/>
      <name val="明朝"/>
      <family val="1"/>
      <charset val="128"/>
    </font>
    <font>
      <sz val="10"/>
      <color indexed="8"/>
      <name val="Arial"/>
      <family val="2"/>
    </font>
    <font>
      <sz val="9"/>
      <name val="Times New Roman"/>
      <family val="1"/>
    </font>
    <font>
      <sz val="8"/>
      <name val="Arial"/>
      <family val="2"/>
    </font>
    <font>
      <sz val="10"/>
      <name val="ＭＳ ゴシック"/>
      <family val="3"/>
      <charset val="128"/>
    </font>
    <font>
      <sz val="10"/>
      <name val="ＭＳ 明朝"/>
      <family val="1"/>
      <charset val="128"/>
    </font>
    <font>
      <sz val="11"/>
      <name val="明朝"/>
      <family val="1"/>
      <charset val="128"/>
    </font>
    <font>
      <sz val="11"/>
      <name val="・団"/>
      <family val="1"/>
      <charset val="128"/>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name val="ＭＳ ゴシック"/>
      <family val="3"/>
      <charset val="128"/>
    </font>
    <font>
      <sz val="10"/>
      <name val="Helv"/>
      <family val="2"/>
    </font>
    <font>
      <sz val="11"/>
      <name val="ＭＳ ・団"/>
      <family val="1"/>
      <charset val="128"/>
    </font>
    <font>
      <b/>
      <sz val="14.5"/>
      <name val="明朝"/>
      <family val="1"/>
      <charset val="128"/>
    </font>
    <font>
      <b/>
      <sz val="12"/>
      <name val="HG丸ｺﾞｼｯｸM-PRO"/>
      <family val="3"/>
      <charset val="128"/>
    </font>
    <font>
      <b/>
      <sz val="8"/>
      <name val="ＭＳ Ｐゴシック"/>
      <family val="3"/>
      <charset val="128"/>
    </font>
    <font>
      <b/>
      <sz val="12"/>
      <name val="ＭＳ Ｐゴシック"/>
      <family val="3"/>
      <charset val="128"/>
    </font>
    <font>
      <sz val="10"/>
      <name val="ＭＳ Ｐゴシック"/>
      <family val="3"/>
      <charset val="128"/>
    </font>
    <font>
      <b/>
      <sz val="12"/>
      <color indexed="12"/>
      <name val="ＭＳ Ｐゴシック"/>
      <family val="3"/>
      <charset val="128"/>
    </font>
    <font>
      <b/>
      <sz val="14"/>
      <name val="ＭＳ Ｐゴシック"/>
      <family val="3"/>
      <charset val="128"/>
    </font>
    <font>
      <sz val="10"/>
      <name val="ＭＳ Ｐゴシック"/>
      <family val="3"/>
      <charset val="128"/>
    </font>
    <font>
      <sz val="10"/>
      <color indexed="12"/>
      <name val="ＭＳ Ｐゴシック"/>
      <family val="3"/>
      <charset val="128"/>
    </font>
    <font>
      <u/>
      <sz val="11"/>
      <color indexed="12"/>
      <name val="ＭＳ Ｐゴシック"/>
      <family val="3"/>
      <charset val="128"/>
    </font>
    <font>
      <sz val="10"/>
      <name val="HG丸ｺﾞｼｯｸM-PRO"/>
      <family val="3"/>
      <charset val="128"/>
    </font>
    <font>
      <vertAlign val="superscript"/>
      <sz val="11"/>
      <name val="HG丸ｺﾞｼｯｸM-PRO"/>
      <family val="3"/>
      <charset val="128"/>
    </font>
    <font>
      <vertAlign val="superscript"/>
      <sz val="10"/>
      <name val="HG丸ｺﾞｼｯｸM-PRO"/>
      <family val="3"/>
      <charset val="128"/>
    </font>
    <font>
      <b/>
      <sz val="10"/>
      <name val="HG丸ｺﾞｼｯｸM-PRO"/>
      <family val="3"/>
      <charset val="128"/>
    </font>
    <font>
      <sz val="11"/>
      <color indexed="8"/>
      <name val="ＭＳ Ｐゴシック"/>
      <family val="3"/>
      <charset val="128"/>
    </font>
    <font>
      <sz val="9"/>
      <color indexed="8"/>
      <name val="ＭＳ Ｐゴシック"/>
      <family val="3"/>
      <charset val="128"/>
    </font>
    <font>
      <sz val="9"/>
      <name val="HG丸ｺﾞｼｯｸM-PRO"/>
      <family val="3"/>
      <charset val="128"/>
    </font>
    <font>
      <b/>
      <sz val="18"/>
      <name val="ＭＳ Ｐゴシック"/>
      <family val="3"/>
      <charset val="128"/>
    </font>
    <font>
      <b/>
      <sz val="10"/>
      <name val="ＭＳ Ｐゴシック"/>
      <family val="3"/>
      <charset val="128"/>
    </font>
    <font>
      <b/>
      <sz val="8"/>
      <name val="Times New Roman"/>
      <family val="1"/>
    </font>
    <font>
      <b/>
      <sz val="18"/>
      <name val="HG丸ｺﾞｼｯｸM-PRO"/>
      <family val="3"/>
      <charset val="128"/>
    </font>
    <font>
      <sz val="14"/>
      <name val="HG丸ｺﾞｼｯｸM-PRO"/>
      <family val="3"/>
      <charset val="128"/>
    </font>
    <font>
      <vertAlign val="subscript"/>
      <sz val="10"/>
      <name val="HG丸ｺﾞｼｯｸM-PRO"/>
      <family val="3"/>
      <charset val="128"/>
    </font>
    <font>
      <sz val="7"/>
      <name val="HG丸ｺﾞｼｯｸM-PRO"/>
      <family val="3"/>
      <charset val="128"/>
    </font>
    <font>
      <sz val="10.5"/>
      <name val="ＭＳ Ｐゴシック"/>
      <family val="3"/>
      <charset val="128"/>
    </font>
    <font>
      <sz val="18"/>
      <name val="ＭＳ Ｐゴシック"/>
      <family val="3"/>
      <charset val="128"/>
    </font>
    <font>
      <b/>
      <u/>
      <sz val="10"/>
      <name val="ＭＳ Ｐゴシック"/>
      <family val="3"/>
      <charset val="128"/>
    </font>
    <font>
      <sz val="9"/>
      <color indexed="81"/>
      <name val="ＭＳ Ｐゴシック"/>
      <family val="3"/>
      <charset val="128"/>
    </font>
    <font>
      <b/>
      <sz val="11"/>
      <name val="HG丸ｺﾞｼｯｸM-PRO"/>
      <family val="3"/>
      <charset val="128"/>
    </font>
    <font>
      <b/>
      <vertAlign val="superscript"/>
      <sz val="11"/>
      <name val="HG丸ｺﾞｼｯｸM-PRO"/>
      <family val="3"/>
      <charset val="128"/>
    </font>
    <font>
      <sz val="10.5"/>
      <color indexed="8"/>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theme="1"/>
      <name val="ＭＳ Ｐゴシック"/>
      <family val="3"/>
      <charset val="128"/>
    </font>
    <font>
      <sz val="11"/>
      <color rgb="FFFF0000"/>
      <name val="ＭＳ Ｐゴシック"/>
      <family val="3"/>
      <charset val="128"/>
    </font>
    <font>
      <sz val="11"/>
      <color theme="0"/>
      <name val="HG丸ｺﾞｼｯｸM-PRO"/>
      <family val="3"/>
      <charset val="128"/>
    </font>
    <font>
      <b/>
      <sz val="12"/>
      <color rgb="FF0000FF"/>
      <name val="ＭＳ Ｐゴシック"/>
      <family val="3"/>
      <charset val="128"/>
    </font>
    <font>
      <sz val="11"/>
      <color rgb="FF0000FF"/>
      <name val="ＭＳ Ｐゴシック"/>
      <family val="3"/>
      <charset val="128"/>
    </font>
    <font>
      <sz val="9"/>
      <name val="ＭＳ Ｐゴシック"/>
      <family val="3"/>
      <charset val="128"/>
      <scheme val="minor"/>
    </font>
    <font>
      <b/>
      <sz val="11"/>
      <color theme="0"/>
      <name val="ＭＳ Ｐゴシック"/>
      <family val="3"/>
      <charset val="128"/>
    </font>
    <font>
      <b/>
      <sz val="14"/>
      <color rgb="FFFF0000"/>
      <name val="ＭＳ Ｐゴシック"/>
      <family val="3"/>
      <charset val="128"/>
      <scheme val="minor"/>
    </font>
    <font>
      <sz val="11"/>
      <color rgb="FF000000"/>
      <name val="ＭＳ Ｐゴシック"/>
      <family val="3"/>
      <charset val="128"/>
    </font>
    <font>
      <b/>
      <sz val="16"/>
      <name val="ＭＳ Ｐゴシック"/>
      <family val="3"/>
      <charset val="128"/>
    </font>
    <font>
      <b/>
      <sz val="22"/>
      <name val="ＭＳ Ｐゴシック"/>
      <family val="3"/>
      <charset val="128"/>
    </font>
    <font>
      <sz val="6"/>
      <name val="ＭＳ Ｐゴシック"/>
      <family val="2"/>
      <charset val="128"/>
      <scheme val="minor"/>
    </font>
    <font>
      <sz val="11"/>
      <color theme="0" tint="-0.14999847407452621"/>
      <name val="ＭＳ Ｐゴシック"/>
      <family val="3"/>
      <charset val="128"/>
    </font>
    <font>
      <sz val="11"/>
      <name val="ＭＳ Ｐゴシック"/>
      <family val="2"/>
      <charset val="128"/>
      <scheme val="minor"/>
    </font>
    <font>
      <sz val="28"/>
      <name val="ＭＳ Ｐゴシック"/>
      <family val="3"/>
      <charset val="128"/>
    </font>
    <font>
      <sz val="10"/>
      <color theme="0" tint="-0.14999847407452621"/>
      <name val="ＭＳ Ｐゴシック"/>
      <family val="3"/>
      <charset val="128"/>
    </font>
    <font>
      <b/>
      <sz val="10"/>
      <color rgb="FF0000FF"/>
      <name val="ＭＳ Ｐゴシック"/>
      <family val="3"/>
      <charset val="128"/>
    </font>
    <font>
      <sz val="10"/>
      <name val="ＭＳ Ｐゴシック"/>
      <family val="3"/>
      <charset val="128"/>
      <scheme val="minor"/>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gray0625"/>
    </fill>
    <fill>
      <patternFill patternType="solid">
        <fgColor indexed="43"/>
        <bgColor indexed="64"/>
      </patternFill>
    </fill>
    <fill>
      <patternFill patternType="solid">
        <fgColor indexed="42"/>
        <bgColor indexed="64"/>
      </patternFill>
    </fill>
    <fill>
      <patternFill patternType="solid">
        <fgColor theme="0" tint="-0.249977111117893"/>
        <bgColor indexed="64"/>
      </patternFill>
    </fill>
    <fill>
      <patternFill patternType="solid">
        <fgColor rgb="FFE6E6E6"/>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0F0"/>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bottom style="medium">
        <color indexed="64"/>
      </bottom>
      <diagonal/>
    </border>
  </borders>
  <cellStyleXfs count="184">
    <xf numFmtId="0" fontId="0" fillId="0" borderId="0">
      <alignment vertical="center"/>
    </xf>
    <xf numFmtId="0" fontId="20" fillId="0" borderId="0" applyNumberFormat="0" applyFill="0" applyBorder="0" applyAlignment="0" applyProtection="0"/>
    <xf numFmtId="177" fontId="21" fillId="0" borderId="0" applyFill="0" applyBorder="0" applyAlignment="0"/>
    <xf numFmtId="41" fontId="19" fillId="0" borderId="0" applyFont="0" applyFill="0" applyBorder="0" applyAlignment="0" applyProtection="0"/>
    <xf numFmtId="43" fontId="19" fillId="0" borderId="0" applyFont="0" applyFill="0" applyBorder="0" applyAlignment="0" applyProtection="0"/>
    <xf numFmtId="178" fontId="19" fillId="0" borderId="0" applyFont="0" applyFill="0" applyBorder="0" applyAlignment="0" applyProtection="0"/>
    <xf numFmtId="179" fontId="19" fillId="0" borderId="0" applyFont="0" applyFill="0" applyBorder="0" applyAlignment="0" applyProtection="0"/>
    <xf numFmtId="0" fontId="22" fillId="0" borderId="0">
      <alignment horizontal="left"/>
    </xf>
    <xf numFmtId="38" fontId="23" fillId="2"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23" fillId="3" borderId="3" applyNumberFormat="0" applyBorder="0" applyAlignment="0" applyProtection="0"/>
    <xf numFmtId="1" fontId="24" fillId="0" borderId="0" applyProtection="0">
      <protection locked="0"/>
    </xf>
    <xf numFmtId="49" fontId="25" fillId="0" borderId="0" applyNumberFormat="0" applyFill="0" applyBorder="0" applyAlignment="0">
      <alignment horizontal="centerContinuous"/>
    </xf>
    <xf numFmtId="180" fontId="26" fillId="0" borderId="0"/>
    <xf numFmtId="0" fontId="19" fillId="0" borderId="0"/>
    <xf numFmtId="0" fontId="27" fillId="0" borderId="0"/>
    <xf numFmtId="0" fontId="26" fillId="0" borderId="0"/>
    <xf numFmtId="10" fontId="19" fillId="0" borderId="0" applyFont="0" applyFill="0" applyBorder="0" applyAlignment="0" applyProtection="0"/>
    <xf numFmtId="4" fontId="22" fillId="0" borderId="0">
      <alignment horizontal="right"/>
    </xf>
    <xf numFmtId="0" fontId="28" fillId="0" borderId="0" applyNumberFormat="0" applyFont="0" applyFill="0" applyBorder="0" applyAlignment="0" applyProtection="0">
      <alignment horizontal="left"/>
    </xf>
    <xf numFmtId="0" fontId="29" fillId="0" borderId="4">
      <alignment horizontal="center"/>
    </xf>
    <xf numFmtId="4" fontId="30" fillId="0" borderId="0">
      <alignment horizontal="right"/>
    </xf>
    <xf numFmtId="0" fontId="31" fillId="0" borderId="0">
      <alignment horizontal="left"/>
    </xf>
    <xf numFmtId="0" fontId="32" fillId="0" borderId="0">
      <alignment horizontal="center"/>
    </xf>
    <xf numFmtId="0" fontId="33" fillId="0" borderId="0" applyNumberFormat="0" applyFill="0" applyAlignment="0"/>
    <xf numFmtId="0" fontId="34" fillId="0" borderId="0"/>
    <xf numFmtId="9" fontId="9" fillId="0" borderId="0" applyFont="0" applyFill="0" applyBorder="0" applyAlignment="0" applyProtection="0">
      <alignment vertical="center"/>
    </xf>
    <xf numFmtId="9" fontId="40" fillId="0" borderId="0" applyFont="0" applyFill="0" applyBorder="0" applyAlignment="0" applyProtection="0">
      <alignment vertical="center"/>
    </xf>
    <xf numFmtId="9" fontId="68" fillId="0" borderId="0" applyFont="0" applyFill="0" applyBorder="0" applyAlignment="0" applyProtection="0">
      <alignment vertical="center"/>
    </xf>
    <xf numFmtId="9" fontId="68" fillId="0" borderId="0" applyFont="0" applyFill="0" applyBorder="0" applyAlignment="0" applyProtection="0">
      <alignment vertical="center"/>
    </xf>
    <xf numFmtId="0" fontId="45" fillId="0" borderId="0" applyNumberFormat="0" applyFill="0" applyBorder="0" applyAlignment="0" applyProtection="0">
      <alignment vertical="top"/>
      <protection locked="0"/>
    </xf>
    <xf numFmtId="41"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38" fontId="9"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68" fillId="0" borderId="0" applyFont="0" applyFill="0" applyBorder="0" applyAlignment="0" applyProtection="0">
      <alignment vertical="center"/>
    </xf>
    <xf numFmtId="38" fontId="68" fillId="0" borderId="0" applyFont="0" applyFill="0" applyBorder="0" applyAlignment="0" applyProtection="0">
      <alignment vertical="center"/>
    </xf>
    <xf numFmtId="183" fontId="26" fillId="0" borderId="0"/>
    <xf numFmtId="184" fontId="35" fillId="0" borderId="0" applyFont="0" applyFill="0" applyBorder="0" applyAlignment="0" applyProtection="0"/>
    <xf numFmtId="185" fontId="35"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40" fillId="0" borderId="0"/>
    <xf numFmtId="0" fontId="9"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14" fillId="0" borderId="0">
      <alignment vertical="center"/>
    </xf>
    <xf numFmtId="0" fontId="14"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9"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14"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8" fillId="0" borderId="0">
      <alignment vertical="center"/>
    </xf>
    <xf numFmtId="0" fontId="68" fillId="0" borderId="0">
      <alignment vertical="center"/>
    </xf>
    <xf numFmtId="0" fontId="68" fillId="0" borderId="0">
      <alignment vertical="center"/>
    </xf>
    <xf numFmtId="0" fontId="40" fillId="0" borderId="0"/>
    <xf numFmtId="0" fontId="40" fillId="0" borderId="0"/>
    <xf numFmtId="0" fontId="68" fillId="0" borderId="0">
      <alignment vertical="center"/>
    </xf>
    <xf numFmtId="0" fontId="68" fillId="0" borderId="0"/>
    <xf numFmtId="0" fontId="40" fillId="0" borderId="0"/>
    <xf numFmtId="0" fontId="40" fillId="0" borderId="0"/>
    <xf numFmtId="0" fontId="40" fillId="0" borderId="0"/>
    <xf numFmtId="0" fontId="69" fillId="0" borderId="0">
      <alignment vertical="center"/>
    </xf>
    <xf numFmtId="186" fontId="36" fillId="0" borderId="5">
      <protection locked="0"/>
    </xf>
    <xf numFmtId="187" fontId="36" fillId="4" borderId="6"/>
    <xf numFmtId="0" fontId="8" fillId="0" borderId="0">
      <alignment vertical="center"/>
    </xf>
    <xf numFmtId="0" fontId="8" fillId="0" borderId="0">
      <alignment vertical="center"/>
    </xf>
    <xf numFmtId="38" fontId="40" fillId="0" borderId="0" applyFont="0" applyFill="0" applyBorder="0" applyAlignment="0" applyProtection="0">
      <alignment vertical="center"/>
    </xf>
  </cellStyleXfs>
  <cellXfs count="1045">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11" fillId="0" borderId="0" xfId="0" applyFont="1">
      <alignment vertical="center"/>
    </xf>
    <xf numFmtId="0" fontId="14" fillId="0" borderId="0" xfId="53" applyFont="1">
      <alignment vertical="center"/>
    </xf>
    <xf numFmtId="176" fontId="0" fillId="0" borderId="0" xfId="0" applyNumberFormat="1" applyAlignment="1">
      <alignment vertical="center" shrinkToFit="1"/>
    </xf>
    <xf numFmtId="0" fontId="12" fillId="0" borderId="0" xfId="0" applyFont="1" applyAlignment="1">
      <alignment horizontal="left" vertical="center"/>
    </xf>
    <xf numFmtId="0" fontId="16" fillId="0" borderId="0" xfId="0" applyFont="1" applyBorder="1" applyAlignment="1">
      <alignment horizontal="left" vertical="center" shrinkToFit="1"/>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0" fillId="0" borderId="0" xfId="0" applyFont="1">
      <alignment vertical="center"/>
    </xf>
    <xf numFmtId="0" fontId="17" fillId="0" borderId="0" xfId="0" applyFont="1" applyBorder="1" applyAlignment="1">
      <alignment horizontal="left" vertical="center" shrinkToFit="1"/>
    </xf>
    <xf numFmtId="0" fontId="17" fillId="0" borderId="0" xfId="0" applyFont="1" applyBorder="1" applyAlignment="1">
      <alignment horizontal="left" vertical="center"/>
    </xf>
    <xf numFmtId="0" fontId="0" fillId="0" borderId="0" xfId="0" applyFont="1" applyAlignment="1">
      <alignment horizontal="center" vertical="center"/>
    </xf>
    <xf numFmtId="176" fontId="17" fillId="2" borderId="7" xfId="0" applyNumberFormat="1" applyFont="1" applyFill="1" applyBorder="1" applyAlignment="1">
      <alignment horizontal="center" vertical="center"/>
    </xf>
    <xf numFmtId="0" fontId="17" fillId="2" borderId="8" xfId="0" applyFont="1" applyFill="1" applyBorder="1" applyAlignment="1">
      <alignment horizontal="center" vertical="center" shrinkToFit="1"/>
    </xf>
    <xf numFmtId="176" fontId="17" fillId="2" borderId="8" xfId="0" applyNumberFormat="1" applyFont="1" applyFill="1" applyBorder="1" applyAlignment="1">
      <alignment horizontal="center" vertical="center" shrinkToFit="1"/>
    </xf>
    <xf numFmtId="0" fontId="17" fillId="2" borderId="8" xfId="0" applyFont="1" applyFill="1" applyBorder="1" applyAlignment="1">
      <alignment horizontal="center" vertical="center" wrapText="1" shrinkToFit="1"/>
    </xf>
    <xf numFmtId="0" fontId="39" fillId="0" borderId="9" xfId="0" applyFont="1" applyFill="1" applyBorder="1" applyAlignment="1">
      <alignment horizontal="center" vertical="center" shrinkToFit="1"/>
    </xf>
    <xf numFmtId="176" fontId="39" fillId="0" borderId="9" xfId="0" applyNumberFormat="1" applyFont="1" applyFill="1" applyBorder="1" applyAlignment="1">
      <alignment horizontal="center" vertical="center" shrinkToFit="1"/>
    </xf>
    <xf numFmtId="0" fontId="0" fillId="0" borderId="0" xfId="0" applyFont="1" applyFill="1" applyBorder="1">
      <alignment vertical="center"/>
    </xf>
    <xf numFmtId="0" fontId="0" fillId="0" borderId="0" xfId="0" applyFont="1" applyAlignment="1">
      <alignment vertical="center" shrinkToFit="1"/>
    </xf>
    <xf numFmtId="0" fontId="41" fillId="0" borderId="10"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176" fontId="39" fillId="0" borderId="3" xfId="0" applyNumberFormat="1" applyFont="1" applyFill="1" applyBorder="1" applyAlignment="1">
      <alignment horizontal="center" vertical="center" shrinkToFit="1"/>
    </xf>
    <xf numFmtId="0" fontId="39" fillId="0" borderId="11"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176" fontId="39" fillId="0" borderId="12" xfId="0" applyNumberFormat="1" applyFont="1" applyFill="1" applyBorder="1" applyAlignment="1">
      <alignment horizontal="center" vertical="center" shrinkToFit="1"/>
    </xf>
    <xf numFmtId="0" fontId="39" fillId="0" borderId="13" xfId="0" applyFont="1" applyFill="1" applyBorder="1" applyAlignment="1">
      <alignment horizontal="center" vertical="center" shrinkToFit="1"/>
    </xf>
    <xf numFmtId="0" fontId="0" fillId="0" borderId="0" xfId="0" applyFont="1" applyAlignment="1">
      <alignment horizontal="center" vertical="center" shrinkToFit="1"/>
    </xf>
    <xf numFmtId="176" fontId="0" fillId="0" borderId="0" xfId="0" applyNumberFormat="1" applyFont="1" applyAlignment="1">
      <alignment vertical="center" shrinkToFit="1"/>
    </xf>
    <xf numFmtId="0" fontId="43" fillId="0" borderId="0" xfId="0" applyFont="1" applyAlignment="1">
      <alignment horizontal="center" vertical="center"/>
    </xf>
    <xf numFmtId="0" fontId="44" fillId="5" borderId="14" xfId="0" applyFont="1" applyFill="1" applyBorder="1" applyAlignment="1">
      <alignment horizontal="center" vertical="center" wrapText="1"/>
    </xf>
    <xf numFmtId="0" fontId="43" fillId="0" borderId="0" xfId="0" applyFont="1">
      <alignment vertical="center"/>
    </xf>
    <xf numFmtId="0" fontId="44" fillId="5" borderId="15" xfId="0" applyFont="1" applyFill="1" applyBorder="1" applyAlignment="1">
      <alignment horizontal="center" vertical="center" wrapText="1"/>
    </xf>
    <xf numFmtId="0" fontId="39" fillId="0" borderId="8" xfId="0" applyFont="1" applyFill="1" applyBorder="1" applyAlignment="1">
      <alignment horizontal="center" vertical="center" shrinkToFit="1"/>
    </xf>
    <xf numFmtId="176" fontId="39" fillId="0" borderId="8" xfId="0" applyNumberFormat="1" applyFont="1" applyFill="1" applyBorder="1" applyAlignment="1">
      <alignment horizontal="center" vertical="center" shrinkToFit="1"/>
    </xf>
    <xf numFmtId="0" fontId="39" fillId="0" borderId="16" xfId="0" applyFont="1" applyFill="1" applyBorder="1" applyAlignment="1">
      <alignment horizontal="center" vertical="center" shrinkToFit="1"/>
    </xf>
    <xf numFmtId="0" fontId="0" fillId="0" borderId="18" xfId="0" applyBorder="1" applyAlignment="1">
      <alignment horizontal="center" vertical="center" shrinkToFit="1"/>
    </xf>
    <xf numFmtId="0" fontId="12" fillId="0" borderId="3" xfId="0" applyFont="1" applyBorder="1" applyAlignment="1">
      <alignment horizontal="center" vertical="center"/>
    </xf>
    <xf numFmtId="0" fontId="37" fillId="0" borderId="0" xfId="0" applyFont="1" applyAlignment="1">
      <alignment vertical="center"/>
    </xf>
    <xf numFmtId="0" fontId="11" fillId="0" borderId="0" xfId="0" applyFont="1" applyBorder="1" applyAlignment="1">
      <alignment vertical="center"/>
    </xf>
    <xf numFmtId="11" fontId="39" fillId="0" borderId="3" xfId="0" applyNumberFormat="1" applyFont="1" applyFill="1" applyBorder="1" applyAlignment="1">
      <alignment horizontal="center" vertical="center" shrinkToFit="1"/>
    </xf>
    <xf numFmtId="11" fontId="39" fillId="0" borderId="8" xfId="0" applyNumberFormat="1" applyFont="1" applyFill="1" applyBorder="1" applyAlignment="1">
      <alignment horizontal="center" vertical="center" shrinkToFit="1"/>
    </xf>
    <xf numFmtId="11" fontId="39" fillId="0" borderId="12" xfId="0" applyNumberFormat="1" applyFont="1" applyFill="1" applyBorder="1" applyAlignment="1">
      <alignment horizontal="center" vertical="center" shrinkToFit="1"/>
    </xf>
    <xf numFmtId="0" fontId="12" fillId="0" borderId="0" xfId="0" applyFont="1" applyBorder="1" applyAlignment="1">
      <alignment horizontal="center" vertical="center"/>
    </xf>
    <xf numFmtId="0" fontId="46" fillId="0" borderId="0" xfId="0" applyFont="1">
      <alignment vertical="center"/>
    </xf>
    <xf numFmtId="0" fontId="49" fillId="0" borderId="0" xfId="0" applyFont="1" applyBorder="1" applyAlignment="1">
      <alignment horizontal="center" vertical="center"/>
    </xf>
    <xf numFmtId="0" fontId="0" fillId="0" borderId="0" xfId="0" applyBorder="1" applyAlignment="1">
      <alignment horizontal="left" vertical="center"/>
    </xf>
    <xf numFmtId="0" fontId="46" fillId="0" borderId="0" xfId="0" applyFont="1" applyBorder="1" applyAlignment="1">
      <alignment vertical="center" shrinkToFit="1"/>
    </xf>
    <xf numFmtId="0" fontId="12" fillId="0" borderId="0" xfId="0" applyFont="1" applyAlignment="1">
      <alignment horizontal="left" vertical="center" wrapText="1"/>
    </xf>
    <xf numFmtId="0" fontId="17" fillId="0" borderId="0" xfId="0" applyFont="1" applyBorder="1" applyAlignment="1">
      <alignment horizontal="left" vertical="center" wrapText="1"/>
    </xf>
    <xf numFmtId="0" fontId="0" fillId="0" borderId="0" xfId="0" applyBorder="1" applyAlignment="1">
      <alignment horizontal="left" vertical="center" wrapText="1"/>
    </xf>
    <xf numFmtId="0" fontId="17" fillId="2" borderId="8"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17" fillId="0" borderId="19" xfId="0" applyFont="1" applyBorder="1" applyAlignment="1">
      <alignment horizontal="center" vertical="center" wrapText="1"/>
    </xf>
    <xf numFmtId="0" fontId="42" fillId="3" borderId="20" xfId="0" applyFont="1" applyFill="1" applyBorder="1" applyAlignment="1">
      <alignment horizontal="center" vertical="center" wrapText="1"/>
    </xf>
    <xf numFmtId="0" fontId="42" fillId="3" borderId="21" xfId="0" applyFont="1" applyFill="1" applyBorder="1" applyAlignment="1">
      <alignment horizontal="center" vertical="center" wrapText="1"/>
    </xf>
    <xf numFmtId="0" fontId="0" fillId="0" borderId="0" xfId="0" applyAlignment="1">
      <alignment horizontal="center" vertical="center" wrapText="1"/>
    </xf>
    <xf numFmtId="0" fontId="17" fillId="0" borderId="0" xfId="0" applyFont="1" applyBorder="1" applyAlignment="1">
      <alignment horizontal="left" vertical="center" wrapText="1" shrinkToFit="1"/>
    </xf>
    <xf numFmtId="0" fontId="42" fillId="3" borderId="22" xfId="0" applyFont="1" applyFill="1" applyBorder="1" applyAlignment="1">
      <alignment horizontal="center" vertical="center" wrapText="1" shrinkToFit="1"/>
    </xf>
    <xf numFmtId="0" fontId="42" fillId="3" borderId="23" xfId="0" applyFont="1" applyFill="1" applyBorder="1" applyAlignment="1">
      <alignment horizontal="center" vertical="center" wrapText="1" shrinkToFit="1"/>
    </xf>
    <xf numFmtId="0" fontId="0" fillId="0" borderId="0" xfId="0" applyAlignment="1">
      <alignment horizontal="center" vertical="center" wrapText="1" shrinkToFit="1"/>
    </xf>
    <xf numFmtId="11" fontId="0" fillId="0" borderId="0" xfId="0" applyNumberFormat="1" applyFont="1">
      <alignment vertical="center"/>
    </xf>
    <xf numFmtId="11" fontId="41" fillId="6" borderId="20" xfId="0" applyNumberFormat="1" applyFont="1" applyFill="1" applyBorder="1" applyAlignment="1">
      <alignment horizontal="center" vertical="center" shrinkToFit="1"/>
    </xf>
    <xf numFmtId="11" fontId="41" fillId="6" borderId="24" xfId="0" applyNumberFormat="1" applyFont="1" applyFill="1" applyBorder="1" applyAlignment="1">
      <alignment vertical="center" shrinkToFit="1"/>
    </xf>
    <xf numFmtId="0" fontId="51" fillId="0" borderId="0" xfId="53" applyFont="1">
      <alignment vertical="center"/>
    </xf>
    <xf numFmtId="0" fontId="50" fillId="0" borderId="0" xfId="53" applyFont="1">
      <alignment vertical="center"/>
    </xf>
    <xf numFmtId="0" fontId="37" fillId="0" borderId="0" xfId="0" applyFont="1" applyFill="1" applyAlignment="1">
      <alignment vertical="center"/>
    </xf>
    <xf numFmtId="0" fontId="0" fillId="0" borderId="0" xfId="0" applyFill="1" applyBorder="1" applyAlignment="1">
      <alignment horizontal="left" vertical="center"/>
    </xf>
    <xf numFmtId="10" fontId="11" fillId="0" borderId="0" xfId="0" applyNumberFormat="1" applyFont="1">
      <alignment vertical="center"/>
    </xf>
    <xf numFmtId="10" fontId="0" fillId="0" borderId="0" xfId="0" applyNumberFormat="1" applyFont="1">
      <alignment vertical="center"/>
    </xf>
    <xf numFmtId="10" fontId="17" fillId="0" borderId="0" xfId="0" applyNumberFormat="1" applyFont="1" applyBorder="1" applyAlignment="1">
      <alignment horizontal="left" vertical="center" shrinkToFit="1"/>
    </xf>
    <xf numFmtId="10" fontId="0" fillId="0" borderId="0" xfId="0" applyNumberFormat="1" applyFont="1" applyFill="1" applyBorder="1">
      <alignment vertical="center"/>
    </xf>
    <xf numFmtId="10" fontId="39" fillId="0" borderId="9" xfId="0" applyNumberFormat="1" applyFont="1" applyFill="1" applyBorder="1" applyAlignment="1">
      <alignment horizontal="center" vertical="center" shrinkToFit="1"/>
    </xf>
    <xf numFmtId="10" fontId="0" fillId="0" borderId="0" xfId="0" applyNumberFormat="1">
      <alignment vertical="center"/>
    </xf>
    <xf numFmtId="10" fontId="37" fillId="0" borderId="3" xfId="0" applyNumberFormat="1" applyFont="1" applyBorder="1" applyAlignment="1">
      <alignment horizontal="center" vertical="center"/>
    </xf>
    <xf numFmtId="10" fontId="0" fillId="0" borderId="18" xfId="0" applyNumberFormat="1" applyBorder="1" applyAlignment="1">
      <alignment horizontal="center" vertical="center" shrinkToFit="1"/>
    </xf>
    <xf numFmtId="11" fontId="39" fillId="0" borderId="25" xfId="0" applyNumberFormat="1" applyFont="1" applyFill="1" applyBorder="1" applyAlignment="1">
      <alignment horizontal="right" vertical="center" shrinkToFit="1"/>
    </xf>
    <xf numFmtId="11" fontId="0" fillId="0" borderId="24" xfId="0" applyNumberFormat="1" applyFont="1" applyBorder="1" applyAlignment="1">
      <alignment vertical="center" wrapText="1"/>
    </xf>
    <xf numFmtId="11" fontId="0" fillId="0" borderId="24" xfId="0" applyNumberFormat="1" applyFont="1" applyBorder="1" applyAlignment="1">
      <alignment vertical="center" shrinkToFit="1"/>
    </xf>
    <xf numFmtId="10" fontId="70" fillId="7" borderId="10" xfId="0" applyNumberFormat="1" applyFont="1" applyFill="1" applyBorder="1" applyAlignment="1">
      <alignment horizontal="center" vertical="center" shrinkToFit="1"/>
    </xf>
    <xf numFmtId="10" fontId="70" fillId="7" borderId="11" xfId="0" applyNumberFormat="1" applyFont="1" applyFill="1" applyBorder="1" applyAlignment="1">
      <alignment horizontal="center" vertical="center" shrinkToFit="1"/>
    </xf>
    <xf numFmtId="0" fontId="41" fillId="0" borderId="20" xfId="0" applyFont="1" applyFill="1" applyBorder="1" applyAlignment="1">
      <alignment horizontal="center" vertical="center" shrinkToFit="1"/>
    </xf>
    <xf numFmtId="0" fontId="40" fillId="0" borderId="10" xfId="0" applyFont="1" applyBorder="1" applyAlignment="1">
      <alignment vertical="center" wrapText="1"/>
    </xf>
    <xf numFmtId="0" fontId="17" fillId="0" borderId="26" xfId="0" applyFont="1" applyBorder="1" applyAlignment="1">
      <alignment horizontal="center" vertical="center" wrapText="1"/>
    </xf>
    <xf numFmtId="0" fontId="17" fillId="0" borderId="0" xfId="0" applyFont="1" applyFill="1" applyBorder="1" applyAlignment="1">
      <alignment horizontal="center" vertical="center" wrapText="1"/>
    </xf>
    <xf numFmtId="10" fontId="70" fillId="7" borderId="10" xfId="0" applyNumberFormat="1" applyFont="1" applyFill="1" applyBorder="1" applyAlignment="1">
      <alignment horizontal="center" vertical="center" shrinkToFit="1"/>
    </xf>
    <xf numFmtId="0" fontId="9" fillId="0" borderId="0" xfId="97" applyFont="1">
      <alignment vertical="center"/>
    </xf>
    <xf numFmtId="0" fontId="39" fillId="0" borderId="4" xfId="97" applyFont="1" applyBorder="1" applyAlignment="1">
      <alignment horizontal="center" vertical="center"/>
    </xf>
    <xf numFmtId="0" fontId="40" fillId="0" borderId="27" xfId="97" applyFont="1" applyFill="1" applyBorder="1" applyAlignment="1">
      <alignment horizontal="center" vertical="center" wrapText="1"/>
    </xf>
    <xf numFmtId="0" fontId="9" fillId="0" borderId="0" xfId="97" applyFont="1" applyAlignment="1">
      <alignment vertical="center" shrinkToFit="1"/>
    </xf>
    <xf numFmtId="0" fontId="17" fillId="0" borderId="19" xfId="0" applyFont="1" applyFill="1" applyBorder="1" applyAlignment="1">
      <alignment horizontal="center" vertical="center" wrapText="1"/>
    </xf>
    <xf numFmtId="0" fontId="55" fillId="2" borderId="8" xfId="0" applyFont="1" applyFill="1" applyBorder="1" applyAlignment="1">
      <alignment horizontal="center" vertical="center" shrinkToFit="1"/>
    </xf>
    <xf numFmtId="0" fontId="11" fillId="0" borderId="0" xfId="53" applyFont="1">
      <alignment vertical="center"/>
    </xf>
    <xf numFmtId="0" fontId="46" fillId="0" borderId="28" xfId="53" applyFont="1" applyBorder="1" applyAlignment="1">
      <alignment horizontal="center" vertical="center" wrapText="1"/>
    </xf>
    <xf numFmtId="0" fontId="46" fillId="0" borderId="29" xfId="53" applyFont="1" applyBorder="1" applyAlignment="1">
      <alignment horizontal="center" vertical="center" wrapText="1"/>
    </xf>
    <xf numFmtId="0" fontId="46" fillId="0" borderId="30" xfId="53" applyFont="1" applyBorder="1" applyAlignment="1">
      <alignment horizontal="center" vertical="center" wrapText="1"/>
    </xf>
    <xf numFmtId="0" fontId="11" fillId="0" borderId="31" xfId="53" applyFont="1" applyBorder="1" applyAlignment="1">
      <alignment vertical="center"/>
    </xf>
    <xf numFmtId="0" fontId="46" fillId="0" borderId="32" xfId="53" applyFont="1" applyBorder="1" applyAlignment="1">
      <alignment horizontal="center" vertical="center" wrapText="1"/>
    </xf>
    <xf numFmtId="0" fontId="46" fillId="0" borderId="0" xfId="53" applyFont="1" applyAlignment="1">
      <alignment horizontal="justify" vertical="center"/>
    </xf>
    <xf numFmtId="0" fontId="46" fillId="0" borderId="27" xfId="53" applyFont="1" applyBorder="1" applyAlignment="1">
      <alignment horizontal="justify" vertical="top" wrapText="1"/>
    </xf>
    <xf numFmtId="0" fontId="11" fillId="0" borderId="27" xfId="53" applyFont="1" applyBorder="1" applyAlignment="1">
      <alignment vertical="center"/>
    </xf>
    <xf numFmtId="0" fontId="11" fillId="0" borderId="33" xfId="53" applyFont="1" applyBorder="1" applyAlignment="1">
      <alignment vertical="center"/>
    </xf>
    <xf numFmtId="0" fontId="11" fillId="0" borderId="32" xfId="53" applyFont="1" applyBorder="1" applyAlignment="1">
      <alignment horizontal="center" vertical="center" shrinkToFit="1"/>
    </xf>
    <xf numFmtId="0" fontId="52" fillId="0" borderId="0" xfId="53" applyFont="1" applyAlignment="1">
      <alignment horizontal="justify" vertical="center"/>
    </xf>
    <xf numFmtId="0" fontId="11" fillId="0" borderId="0" xfId="64" applyFont="1">
      <alignment vertical="center"/>
    </xf>
    <xf numFmtId="0" fontId="46" fillId="0" borderId="32" xfId="64" applyFont="1" applyBorder="1" applyAlignment="1">
      <alignment horizontal="center" vertical="center" wrapText="1"/>
    </xf>
    <xf numFmtId="0" fontId="46" fillId="0" borderId="31" xfId="64" applyFont="1" applyBorder="1" applyAlignment="1">
      <alignment horizontal="center" vertical="center" wrapText="1"/>
    </xf>
    <xf numFmtId="0" fontId="11" fillId="0" borderId="31" xfId="75" applyFont="1" applyBorder="1" applyAlignment="1">
      <alignment vertical="center"/>
    </xf>
    <xf numFmtId="0" fontId="46" fillId="0" borderId="28" xfId="64" applyFont="1" applyBorder="1" applyAlignment="1">
      <alignment horizontal="center" vertical="center" wrapText="1"/>
    </xf>
    <xf numFmtId="0" fontId="46" fillId="0" borderId="29" xfId="64" applyFont="1" applyBorder="1" applyAlignment="1">
      <alignment horizontal="center" vertical="center" wrapText="1"/>
    </xf>
    <xf numFmtId="0" fontId="59" fillId="0" borderId="32" xfId="75" applyFont="1" applyBorder="1" applyAlignment="1">
      <alignment vertical="center"/>
    </xf>
    <xf numFmtId="0" fontId="11" fillId="0" borderId="0" xfId="53" applyFont="1" applyAlignment="1">
      <alignment vertical="center" shrinkToFit="1"/>
    </xf>
    <xf numFmtId="0" fontId="12" fillId="0" borderId="0" xfId="0" applyFont="1" applyAlignment="1">
      <alignment horizontal="center" vertical="center" shrinkToFit="1"/>
    </xf>
    <xf numFmtId="0" fontId="11" fillId="2" borderId="22" xfId="90" applyFont="1" applyFill="1" applyBorder="1" applyAlignment="1">
      <alignment horizontal="center" vertical="center" shrinkToFit="1"/>
    </xf>
    <xf numFmtId="0" fontId="11" fillId="2" borderId="34" xfId="0" applyFont="1" applyFill="1" applyBorder="1" applyAlignment="1">
      <alignment horizontal="center" vertical="center"/>
    </xf>
    <xf numFmtId="0" fontId="11" fillId="0" borderId="0" xfId="0" applyFont="1" applyFill="1" applyBorder="1" applyAlignment="1">
      <alignment horizontal="left" vertical="center" shrinkToFi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0" xfId="0" applyFont="1" applyFill="1" applyBorder="1" applyAlignment="1">
      <alignment horizontal="center" vertical="center" shrinkToFit="1"/>
    </xf>
    <xf numFmtId="0" fontId="15" fillId="0" borderId="0" xfId="0" applyFont="1" applyAlignment="1">
      <alignment horizontal="left" vertical="center"/>
    </xf>
    <xf numFmtId="0" fontId="11" fillId="2" borderId="34" xfId="0" applyFont="1" applyFill="1" applyBorder="1" applyAlignment="1">
      <alignment horizontal="center" vertical="center" wrapText="1" shrinkToFit="1"/>
    </xf>
    <xf numFmtId="0" fontId="46" fillId="2" borderId="34" xfId="0" applyFont="1" applyFill="1" applyBorder="1" applyAlignment="1">
      <alignment horizontal="center" vertical="center" wrapText="1"/>
    </xf>
    <xf numFmtId="0" fontId="46" fillId="0" borderId="4" xfId="0" applyFont="1" applyBorder="1" applyAlignment="1">
      <alignment horizontal="center" vertical="center" shrinkToFit="1"/>
    </xf>
    <xf numFmtId="0" fontId="15" fillId="0" borderId="0" xfId="0" applyFont="1" applyAlignment="1">
      <alignment horizontal="left" vertical="center" shrinkToFit="1"/>
    </xf>
    <xf numFmtId="0" fontId="15" fillId="0" borderId="0" xfId="0" applyFont="1" applyAlignment="1">
      <alignment vertical="center" shrinkToFit="1"/>
    </xf>
    <xf numFmtId="0" fontId="15" fillId="0" borderId="0" xfId="0" applyFont="1">
      <alignment vertical="center"/>
    </xf>
    <xf numFmtId="0" fontId="11" fillId="0" borderId="0" xfId="0" applyFont="1" applyFill="1">
      <alignment vertical="center"/>
    </xf>
    <xf numFmtId="0" fontId="13" fillId="2" borderId="19" xfId="0" applyFont="1" applyFill="1" applyBorder="1" applyAlignment="1">
      <alignment horizontal="center" vertical="center" wrapText="1" shrinkToFit="1"/>
    </xf>
    <xf numFmtId="0" fontId="11" fillId="2" borderId="26" xfId="0" applyFont="1" applyFill="1" applyBorder="1" applyAlignment="1">
      <alignment horizontal="center" vertical="center" wrapText="1" shrinkToFit="1"/>
    </xf>
    <xf numFmtId="0" fontId="11" fillId="2" borderId="19" xfId="0" applyFont="1" applyFill="1" applyBorder="1" applyAlignment="1">
      <alignment horizontal="center" vertical="center" wrapText="1" shrinkToFit="1"/>
    </xf>
    <xf numFmtId="0" fontId="13" fillId="2" borderId="35" xfId="90" applyFont="1" applyFill="1" applyBorder="1" applyAlignment="1">
      <alignment horizontal="center" vertical="center" shrinkToFit="1"/>
    </xf>
    <xf numFmtId="0" fontId="11" fillId="2" borderId="36" xfId="90" applyFont="1" applyFill="1" applyBorder="1" applyAlignment="1">
      <alignment horizontal="center" vertical="center" shrinkToFit="1"/>
    </xf>
    <xf numFmtId="0" fontId="11" fillId="2" borderId="26" xfId="90" applyFont="1" applyFill="1" applyBorder="1" applyAlignment="1">
      <alignment horizontal="center" vertical="center" shrinkToFit="1"/>
    </xf>
    <xf numFmtId="0" fontId="13" fillId="2" borderId="37" xfId="90" applyFont="1" applyFill="1" applyBorder="1" applyAlignment="1">
      <alignment horizontal="center" shrinkToFit="1"/>
    </xf>
    <xf numFmtId="0" fontId="13" fillId="7" borderId="38" xfId="90" applyFont="1" applyFill="1" applyBorder="1" applyAlignment="1">
      <alignment horizontal="center"/>
    </xf>
    <xf numFmtId="0" fontId="11" fillId="7" borderId="20" xfId="90" applyFont="1" applyFill="1" applyBorder="1" applyAlignment="1">
      <alignment horizontal="center" vertical="center" wrapText="1"/>
    </xf>
    <xf numFmtId="0" fontId="11" fillId="7" borderId="3" xfId="90" applyFont="1" applyFill="1" applyBorder="1" applyAlignment="1">
      <alignment horizontal="center" vertical="center"/>
    </xf>
    <xf numFmtId="0" fontId="11" fillId="2" borderId="39" xfId="90" applyFont="1" applyFill="1" applyBorder="1" applyAlignment="1">
      <alignment horizontal="center" vertical="center" shrinkToFit="1"/>
    </xf>
    <xf numFmtId="0" fontId="11" fillId="0" borderId="1" xfId="90" applyFont="1" applyFill="1" applyBorder="1" applyAlignment="1">
      <alignment vertical="center"/>
    </xf>
    <xf numFmtId="0" fontId="11" fillId="0" borderId="31" xfId="90" applyFont="1" applyFill="1" applyBorder="1" applyAlignment="1">
      <alignment vertical="center"/>
    </xf>
    <xf numFmtId="0" fontId="71" fillId="0" borderId="0" xfId="0" applyFont="1">
      <alignment vertical="center"/>
    </xf>
    <xf numFmtId="0" fontId="71" fillId="0" borderId="0" xfId="0" applyFont="1" applyBorder="1" applyAlignment="1">
      <alignment vertical="top"/>
    </xf>
    <xf numFmtId="0" fontId="72" fillId="0" borderId="0" xfId="0" applyFont="1" applyAlignment="1">
      <alignment horizontal="left" vertical="center"/>
    </xf>
    <xf numFmtId="49" fontId="72" fillId="8" borderId="40" xfId="0" applyNumberFormat="1" applyFont="1" applyFill="1" applyBorder="1" applyAlignment="1">
      <alignment horizontal="center" vertical="center" wrapText="1"/>
    </xf>
    <xf numFmtId="0" fontId="72" fillId="8" borderId="41" xfId="0" applyFont="1" applyFill="1" applyBorder="1" applyAlignment="1">
      <alignment horizontal="center" vertical="center" wrapText="1"/>
    </xf>
    <xf numFmtId="0" fontId="72" fillId="0" borderId="17" xfId="0" applyFont="1" applyBorder="1" applyAlignment="1">
      <alignment horizontal="justify" vertical="center" wrapText="1"/>
    </xf>
    <xf numFmtId="0" fontId="72" fillId="0" borderId="29" xfId="0" applyFont="1" applyBorder="1" applyAlignment="1">
      <alignment horizontal="justify" vertical="center" wrapText="1"/>
    </xf>
    <xf numFmtId="49" fontId="72" fillId="0" borderId="0" xfId="0" applyNumberFormat="1" applyFont="1" applyAlignment="1">
      <alignment horizontal="justify" vertical="center"/>
    </xf>
    <xf numFmtId="49" fontId="72" fillId="0" borderId="0" xfId="0" applyNumberFormat="1" applyFont="1" applyAlignment="1">
      <alignment horizontal="left" vertical="center"/>
    </xf>
    <xf numFmtId="0" fontId="72" fillId="0" borderId="28" xfId="0" applyFont="1" applyBorder="1" applyAlignment="1">
      <alignment horizontal="justify" vertical="center" wrapText="1"/>
    </xf>
    <xf numFmtId="0" fontId="72" fillId="0" borderId="0" xfId="0" applyFont="1" applyAlignment="1">
      <alignment horizontal="justify" vertical="center"/>
    </xf>
    <xf numFmtId="0" fontId="72" fillId="0" borderId="0" xfId="0" applyFont="1" applyAlignment="1">
      <alignment horizontal="right" vertical="center"/>
    </xf>
    <xf numFmtId="49" fontId="0" fillId="0" borderId="0" xfId="0" applyNumberFormat="1" applyFont="1">
      <alignment vertical="center"/>
    </xf>
    <xf numFmtId="0" fontId="72" fillId="0" borderId="30" xfId="0" applyFont="1" applyBorder="1" applyAlignment="1">
      <alignment horizontal="justify" vertical="center" wrapText="1"/>
    </xf>
    <xf numFmtId="0" fontId="60" fillId="0" borderId="28" xfId="0" applyFont="1" applyBorder="1" applyAlignment="1">
      <alignment horizontal="justify" vertical="center" wrapText="1"/>
    </xf>
    <xf numFmtId="49" fontId="72" fillId="0" borderId="32" xfId="0" applyNumberFormat="1" applyFont="1" applyBorder="1" applyAlignment="1">
      <alignment horizontal="center" vertical="center" wrapText="1"/>
    </xf>
    <xf numFmtId="0" fontId="72" fillId="0" borderId="31" xfId="0" applyFont="1" applyBorder="1" applyAlignment="1">
      <alignment horizontal="justify" vertical="center" wrapText="1"/>
    </xf>
    <xf numFmtId="0" fontId="72" fillId="0" borderId="0" xfId="0" applyFont="1" applyFill="1" applyBorder="1" applyAlignment="1">
      <alignment horizontal="center" vertical="center" wrapText="1"/>
    </xf>
    <xf numFmtId="0" fontId="72" fillId="0" borderId="42" xfId="0" applyFont="1" applyBorder="1" applyAlignment="1">
      <alignment horizontal="justify" vertical="center" wrapText="1"/>
    </xf>
    <xf numFmtId="0" fontId="72" fillId="0" borderId="43" xfId="0" applyFont="1" applyBorder="1" applyAlignment="1">
      <alignment horizontal="justify" vertical="center" wrapText="1"/>
    </xf>
    <xf numFmtId="0" fontId="38" fillId="2" borderId="8" xfId="0" applyFont="1" applyFill="1" applyBorder="1" applyAlignment="1">
      <alignment horizontal="center" vertical="center" shrinkToFit="1"/>
    </xf>
    <xf numFmtId="0" fontId="11" fillId="0" borderId="34" xfId="0" applyFont="1" applyFill="1" applyBorder="1" applyAlignment="1">
      <alignment horizontal="center" vertical="center"/>
    </xf>
    <xf numFmtId="0" fontId="17" fillId="0" borderId="0" xfId="97" applyFont="1" applyAlignment="1">
      <alignment horizontal="right" vertical="center"/>
    </xf>
    <xf numFmtId="0" fontId="11" fillId="0" borderId="1" xfId="90" applyFont="1" applyFill="1" applyBorder="1" applyAlignment="1">
      <alignment horizontal="right" vertical="center"/>
    </xf>
    <xf numFmtId="0" fontId="72" fillId="8" borderId="43" xfId="0" applyFont="1" applyFill="1" applyBorder="1" applyAlignment="1">
      <alignment horizontal="center" vertical="center" wrapText="1"/>
    </xf>
    <xf numFmtId="0" fontId="71" fillId="0" borderId="0" xfId="0" applyFont="1" applyAlignment="1">
      <alignment horizontal="right" vertical="center"/>
    </xf>
    <xf numFmtId="0" fontId="11" fillId="7" borderId="1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4" xfId="90" applyFont="1" applyFill="1" applyBorder="1" applyAlignment="1">
      <alignment horizontal="center" vertical="center"/>
    </xf>
    <xf numFmtId="0" fontId="47" fillId="0" borderId="0" xfId="90" applyFont="1" applyFill="1" applyBorder="1" applyAlignment="1">
      <alignment horizontal="left" vertical="center" shrinkToFit="1"/>
    </xf>
    <xf numFmtId="0" fontId="11" fillId="0" borderId="0" xfId="90" applyFont="1" applyFill="1" applyBorder="1" applyAlignment="1">
      <alignment horizontal="left" vertical="center" shrinkToFit="1"/>
    </xf>
    <xf numFmtId="0" fontId="46" fillId="0" borderId="32" xfId="53" applyFont="1" applyBorder="1" applyAlignment="1">
      <alignment vertical="center"/>
    </xf>
    <xf numFmtId="0" fontId="52" fillId="0" borderId="29" xfId="64" applyFont="1" applyBorder="1" applyAlignment="1">
      <alignment horizontal="center" vertical="center" wrapText="1"/>
    </xf>
    <xf numFmtId="0" fontId="9" fillId="0" borderId="0" xfId="0" applyFont="1">
      <alignment vertical="center"/>
    </xf>
    <xf numFmtId="49" fontId="60" fillId="0" borderId="0" xfId="0" applyNumberFormat="1" applyFont="1" applyBorder="1" applyAlignment="1">
      <alignment horizontal="center" vertical="center" wrapText="1"/>
    </xf>
    <xf numFmtId="0" fontId="66" fillId="0" borderId="0" xfId="0" applyFont="1" applyBorder="1" applyAlignment="1">
      <alignment horizontal="justify" vertical="center" wrapText="1"/>
    </xf>
    <xf numFmtId="0" fontId="60" fillId="0" borderId="0" xfId="0" applyFont="1" applyBorder="1" applyAlignment="1">
      <alignment horizontal="center" vertical="center" wrapText="1"/>
    </xf>
    <xf numFmtId="0" fontId="13" fillId="0" borderId="33" xfId="53" applyFont="1" applyBorder="1" applyAlignment="1">
      <alignment vertical="center" wrapText="1"/>
    </xf>
    <xf numFmtId="0" fontId="52" fillId="0" borderId="32" xfId="53" applyFont="1" applyBorder="1" applyAlignment="1">
      <alignment vertical="center"/>
    </xf>
    <xf numFmtId="0" fontId="54" fillId="3" borderId="22" xfId="0" applyFont="1" applyFill="1" applyBorder="1" applyAlignment="1">
      <alignment horizontal="center" vertical="center" shrinkToFit="1"/>
    </xf>
    <xf numFmtId="0" fontId="39" fillId="3" borderId="22" xfId="0" applyFont="1" applyFill="1" applyBorder="1" applyAlignment="1">
      <alignment horizontal="center" vertical="center" shrinkToFit="1"/>
    </xf>
    <xf numFmtId="0" fontId="42" fillId="3" borderId="22" xfId="0" applyFont="1" applyFill="1" applyBorder="1" applyAlignment="1">
      <alignment horizontal="center" vertical="center" shrinkToFit="1"/>
    </xf>
    <xf numFmtId="0" fontId="42" fillId="3" borderId="45" xfId="0" applyFont="1" applyFill="1" applyBorder="1" applyAlignment="1">
      <alignment horizontal="center" vertical="center" shrinkToFit="1"/>
    </xf>
    <xf numFmtId="0" fontId="73" fillId="3" borderId="36" xfId="0" applyFont="1" applyFill="1" applyBorder="1" applyAlignment="1">
      <alignment horizontal="center" vertical="center" shrinkToFit="1"/>
    </xf>
    <xf numFmtId="0" fontId="73" fillId="0" borderId="0" xfId="0" applyFont="1" applyAlignment="1">
      <alignment horizontal="center" vertical="center"/>
    </xf>
    <xf numFmtId="0" fontId="73" fillId="0" borderId="0" xfId="0" applyFont="1">
      <alignment vertical="center"/>
    </xf>
    <xf numFmtId="0" fontId="73" fillId="0" borderId="3" xfId="0" applyFont="1" applyBorder="1">
      <alignment vertical="center"/>
    </xf>
    <xf numFmtId="0" fontId="73" fillId="0" borderId="3" xfId="0" applyFont="1" applyBorder="1" applyAlignment="1">
      <alignment horizontal="center" vertical="center"/>
    </xf>
    <xf numFmtId="0" fontId="73" fillId="0" borderId="3" xfId="0" applyFont="1" applyFill="1" applyBorder="1" applyAlignment="1">
      <alignment horizontal="left" vertical="center" wrapText="1" shrinkToFit="1"/>
    </xf>
    <xf numFmtId="0" fontId="73" fillId="0" borderId="0" xfId="0" applyFont="1" applyFill="1" applyAlignment="1">
      <alignment horizontal="left" vertical="center" wrapText="1" shrinkToFit="1"/>
    </xf>
    <xf numFmtId="0" fontId="73" fillId="9" borderId="3" xfId="0" applyFont="1" applyFill="1" applyBorder="1" applyAlignment="1">
      <alignment horizontal="left" vertical="center" wrapText="1" shrinkToFit="1"/>
    </xf>
    <xf numFmtId="0" fontId="73" fillId="9" borderId="3" xfId="0" applyFont="1" applyFill="1" applyBorder="1" applyAlignment="1">
      <alignment horizontal="center" vertical="center"/>
    </xf>
    <xf numFmtId="0" fontId="74" fillId="9" borderId="36" xfId="0" applyFont="1" applyFill="1" applyBorder="1" applyAlignment="1">
      <alignment horizontal="left" vertical="center" shrinkToFit="1"/>
    </xf>
    <xf numFmtId="0" fontId="73" fillId="3" borderId="3" xfId="0" applyFont="1" applyFill="1" applyBorder="1" applyAlignment="1">
      <alignment horizontal="center" vertical="center" shrinkToFit="1"/>
    </xf>
    <xf numFmtId="0" fontId="74" fillId="9" borderId="3" xfId="0" applyFont="1" applyFill="1" applyBorder="1" applyAlignment="1">
      <alignment horizontal="left" vertical="center" shrinkToFit="1"/>
    </xf>
    <xf numFmtId="0" fontId="73" fillId="0" borderId="44" xfId="0" applyFont="1" applyFill="1" applyBorder="1" applyAlignment="1">
      <alignment horizontal="left" vertical="center" wrapText="1" shrinkToFit="1"/>
    </xf>
    <xf numFmtId="0" fontId="73" fillId="9" borderId="44" xfId="0" applyFont="1" applyFill="1" applyBorder="1" applyAlignment="1">
      <alignment horizontal="left" vertical="center" wrapText="1" shrinkToFit="1"/>
    </xf>
    <xf numFmtId="0" fontId="73" fillId="0" borderId="44" xfId="0" applyFont="1" applyBorder="1">
      <alignment vertical="center"/>
    </xf>
    <xf numFmtId="0" fontId="73" fillId="0" borderId="46" xfId="0" applyFont="1" applyFill="1" applyBorder="1" applyAlignment="1">
      <alignment horizontal="left" vertical="center" wrapText="1" shrinkToFit="1"/>
    </xf>
    <xf numFmtId="0" fontId="73" fillId="9" borderId="46" xfId="0" applyFont="1" applyFill="1" applyBorder="1" applyAlignment="1">
      <alignment horizontal="left" vertical="center" wrapText="1" shrinkToFit="1"/>
    </xf>
    <xf numFmtId="0" fontId="73" fillId="0" borderId="46" xfId="0" applyFont="1" applyBorder="1">
      <alignment vertical="center"/>
    </xf>
    <xf numFmtId="0" fontId="73" fillId="0" borderId="0" xfId="0" applyFont="1" applyFill="1" applyBorder="1" applyAlignment="1">
      <alignment horizontal="left" vertical="center" wrapText="1" shrinkToFit="1"/>
    </xf>
    <xf numFmtId="0" fontId="73" fillId="11" borderId="36" xfId="0" applyFont="1" applyFill="1" applyBorder="1" applyAlignment="1">
      <alignment horizontal="center" vertical="center" shrinkToFit="1"/>
    </xf>
    <xf numFmtId="0" fontId="73" fillId="11" borderId="3" xfId="0" applyFont="1" applyFill="1" applyBorder="1" applyAlignment="1">
      <alignment horizontal="center" vertical="center"/>
    </xf>
    <xf numFmtId="0" fontId="73" fillId="11" borderId="44" xfId="0" applyFont="1" applyFill="1" applyBorder="1" applyAlignment="1">
      <alignment horizontal="left" vertical="center" wrapText="1" shrinkToFit="1"/>
    </xf>
    <xf numFmtId="0" fontId="73" fillId="11" borderId="46" xfId="0" applyFont="1" applyFill="1" applyBorder="1" applyAlignment="1">
      <alignment horizontal="left" vertical="center" wrapText="1" shrinkToFit="1"/>
    </xf>
    <xf numFmtId="0" fontId="73" fillId="11" borderId="3" xfId="0" applyFont="1" applyFill="1" applyBorder="1" applyAlignment="1">
      <alignment horizontal="left" vertical="center" wrapText="1" shrinkToFit="1"/>
    </xf>
    <xf numFmtId="0" fontId="73" fillId="12" borderId="44" xfId="0" applyFont="1" applyFill="1" applyBorder="1" applyAlignment="1">
      <alignment horizontal="left" vertical="center" wrapText="1" shrinkToFit="1"/>
    </xf>
    <xf numFmtId="0" fontId="17" fillId="2" borderId="38" xfId="0" applyFont="1" applyFill="1" applyBorder="1" applyAlignment="1">
      <alignment horizontal="center" vertical="center" shrinkToFit="1"/>
    </xf>
    <xf numFmtId="176" fontId="17" fillId="2" borderId="38" xfId="0" applyNumberFormat="1" applyFont="1" applyFill="1" applyBorder="1" applyAlignment="1">
      <alignment horizontal="center" vertical="center" shrinkToFit="1"/>
    </xf>
    <xf numFmtId="0" fontId="39" fillId="0" borderId="47" xfId="0" applyFont="1" applyFill="1" applyBorder="1" applyAlignment="1">
      <alignment horizontal="center" vertical="center" shrinkToFit="1"/>
    </xf>
    <xf numFmtId="0" fontId="39" fillId="0" borderId="38" xfId="0" applyFont="1" applyFill="1" applyBorder="1" applyAlignment="1">
      <alignment horizontal="center" vertical="center" wrapText="1"/>
    </xf>
    <xf numFmtId="11" fontId="39" fillId="0" borderId="38" xfId="0" applyNumberFormat="1" applyFont="1" applyFill="1" applyBorder="1" applyAlignment="1">
      <alignment horizontal="center" vertical="center" shrinkToFit="1"/>
    </xf>
    <xf numFmtId="176" fontId="39" fillId="0" borderId="38" xfId="0" applyNumberFormat="1" applyFont="1" applyFill="1" applyBorder="1" applyAlignment="1">
      <alignment horizontal="center" vertical="center" shrinkToFit="1"/>
    </xf>
    <xf numFmtId="0" fontId="42" fillId="3" borderId="3" xfId="0" applyFont="1" applyFill="1" applyBorder="1" applyAlignment="1">
      <alignment horizontal="center" vertical="center" wrapText="1" shrinkToFit="1"/>
    </xf>
    <xf numFmtId="0" fontId="42" fillId="3" borderId="3" xfId="0" applyFont="1" applyFill="1" applyBorder="1" applyAlignment="1">
      <alignment horizontal="center" vertical="center" wrapText="1"/>
    </xf>
    <xf numFmtId="0" fontId="17" fillId="3" borderId="22" xfId="0" applyFont="1" applyFill="1" applyBorder="1" applyAlignment="1">
      <alignment horizontal="center" vertical="center" wrapText="1" shrinkToFit="1"/>
    </xf>
    <xf numFmtId="0" fontId="0" fillId="0" borderId="44" xfId="0" applyFont="1" applyBorder="1" applyAlignment="1">
      <alignment horizontal="center" vertical="center" shrinkToFit="1"/>
    </xf>
    <xf numFmtId="11" fontId="0" fillId="0" borderId="3" xfId="0" applyNumberFormat="1" applyFont="1" applyBorder="1" applyAlignment="1">
      <alignment vertical="center" shrinkToFit="1"/>
    </xf>
    <xf numFmtId="191" fontId="0" fillId="0" borderId="3" xfId="0" applyNumberFormat="1" applyFont="1" applyBorder="1" applyAlignment="1">
      <alignment vertical="center" shrinkToFit="1"/>
    </xf>
    <xf numFmtId="0" fontId="0" fillId="0" borderId="3" xfId="0" applyFont="1" applyBorder="1" applyAlignment="1">
      <alignment vertical="center" shrinkToFit="1"/>
    </xf>
    <xf numFmtId="0" fontId="0" fillId="0" borderId="3" xfId="0" applyFont="1" applyBorder="1" applyAlignment="1">
      <alignment horizontal="left" vertical="center" shrinkToFit="1"/>
    </xf>
    <xf numFmtId="0" fontId="0" fillId="0" borderId="3" xfId="0" applyFont="1" applyBorder="1">
      <alignment vertical="center"/>
    </xf>
    <xf numFmtId="0" fontId="0" fillId="0" borderId="20" xfId="0" applyFont="1" applyBorder="1" applyAlignment="1">
      <alignment vertical="center" shrinkToFit="1"/>
    </xf>
    <xf numFmtId="188" fontId="0" fillId="0" borderId="48" xfId="0" applyNumberFormat="1" applyFont="1" applyFill="1" applyBorder="1" applyAlignment="1">
      <alignment horizontal="left" vertical="center"/>
    </xf>
    <xf numFmtId="0" fontId="0" fillId="0" borderId="3" xfId="0" applyFont="1" applyFill="1" applyBorder="1" applyAlignment="1">
      <alignment horizontal="left" vertical="center" wrapText="1"/>
    </xf>
    <xf numFmtId="0" fontId="75" fillId="0" borderId="26" xfId="174" applyFont="1" applyBorder="1" applyAlignment="1">
      <alignment horizontal="left" vertical="top" wrapText="1"/>
    </xf>
    <xf numFmtId="191" fontId="75" fillId="0" borderId="3" xfId="174" applyNumberFormat="1" applyFont="1" applyBorder="1" applyAlignment="1">
      <alignment vertical="top" wrapText="1"/>
    </xf>
    <xf numFmtId="0" fontId="0" fillId="0" borderId="0" xfId="0" applyFont="1" applyBorder="1" applyAlignment="1">
      <alignment vertical="center" shrinkToFit="1"/>
    </xf>
    <xf numFmtId="0" fontId="0" fillId="0" borderId="0" xfId="0" applyFont="1" applyAlignment="1">
      <alignment vertical="center"/>
    </xf>
    <xf numFmtId="0" fontId="0" fillId="0" borderId="3" xfId="0" applyFont="1" applyFill="1" applyBorder="1" applyAlignment="1">
      <alignment vertical="center" shrinkToFit="1"/>
    </xf>
    <xf numFmtId="0" fontId="0" fillId="0" borderId="0" xfId="0" applyFont="1" applyBorder="1">
      <alignment vertical="center"/>
    </xf>
    <xf numFmtId="0" fontId="0" fillId="0" borderId="44" xfId="0" applyFont="1" applyBorder="1">
      <alignment vertical="center"/>
    </xf>
    <xf numFmtId="0" fontId="0" fillId="0" borderId="3" xfId="0" applyFont="1" applyFill="1" applyBorder="1">
      <alignment vertical="center"/>
    </xf>
    <xf numFmtId="0" fontId="0" fillId="0" borderId="49" xfId="0" applyFont="1" applyBorder="1" applyAlignment="1">
      <alignment vertical="center" shrinkToFit="1"/>
    </xf>
    <xf numFmtId="0" fontId="0" fillId="0" borderId="9" xfId="0" applyFont="1" applyBorder="1" applyAlignment="1">
      <alignment vertical="center" shrinkToFit="1"/>
    </xf>
    <xf numFmtId="11" fontId="0" fillId="0" borderId="3" xfId="35" applyNumberFormat="1" applyFont="1" applyBorder="1" applyAlignment="1">
      <alignment vertical="center" shrinkToFit="1"/>
    </xf>
    <xf numFmtId="0" fontId="17" fillId="2" borderId="3" xfId="0" applyFont="1" applyFill="1" applyBorder="1" applyAlignment="1">
      <alignment horizontal="center" vertical="center" shrinkToFit="1"/>
    </xf>
    <xf numFmtId="0" fontId="0" fillId="0" borderId="3" xfId="0" applyFont="1" applyFill="1" applyBorder="1" applyAlignment="1">
      <alignment horizontal="left" vertical="center" shrinkToFit="1"/>
    </xf>
    <xf numFmtId="0" fontId="40" fillId="0" borderId="50"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20" xfId="0" applyFont="1" applyBorder="1" applyAlignment="1">
      <alignment vertical="center" wrapText="1"/>
    </xf>
    <xf numFmtId="191" fontId="37" fillId="0" borderId="0" xfId="0" applyNumberFormat="1" applyFont="1" applyFill="1" applyAlignment="1">
      <alignment vertical="center"/>
    </xf>
    <xf numFmtId="191" fontId="19" fillId="0" borderId="0" xfId="0" applyNumberFormat="1" applyFont="1" applyAlignment="1">
      <alignment horizontal="center" vertical="center" shrinkToFit="1"/>
    </xf>
    <xf numFmtId="191" fontId="40" fillId="0" borderId="48" xfId="0" applyNumberFormat="1" applyFont="1" applyBorder="1" applyAlignment="1">
      <alignment horizontal="center" vertical="center" wrapText="1"/>
    </xf>
    <xf numFmtId="0" fontId="37" fillId="0" borderId="0" xfId="0" applyFont="1" applyAlignment="1">
      <alignment horizontal="center" vertical="center"/>
    </xf>
    <xf numFmtId="191" fontId="40" fillId="0" borderId="3" xfId="0" applyNumberFormat="1" applyFont="1" applyBorder="1" applyAlignment="1">
      <alignment horizontal="center" vertical="center" wrapText="1"/>
    </xf>
    <xf numFmtId="0" fontId="40" fillId="0" borderId="20" xfId="0" applyFont="1" applyFill="1" applyBorder="1" applyAlignment="1">
      <alignment vertical="center" wrapText="1"/>
    </xf>
    <xf numFmtId="0" fontId="44" fillId="12" borderId="14" xfId="0" applyFont="1" applyFill="1" applyBorder="1" applyAlignment="1">
      <alignment horizontal="center" vertical="center" wrapText="1"/>
    </xf>
    <xf numFmtId="0" fontId="40" fillId="12" borderId="48" xfId="0" applyFont="1" applyFill="1" applyBorder="1" applyAlignment="1">
      <alignment horizontal="center" vertical="center" wrapText="1"/>
    </xf>
    <xf numFmtId="0" fontId="44" fillId="12" borderId="3" xfId="0" applyFont="1" applyFill="1" applyBorder="1" applyAlignment="1">
      <alignment horizontal="center" vertical="center" wrapText="1"/>
    </xf>
    <xf numFmtId="0" fontId="40" fillId="0" borderId="3" xfId="0" applyFont="1" applyBorder="1" applyAlignment="1">
      <alignment horizontal="center" vertical="center"/>
    </xf>
    <xf numFmtId="9" fontId="40" fillId="0" borderId="48" xfId="27" applyFont="1" applyBorder="1" applyAlignment="1">
      <alignment horizontal="center" vertical="center" wrapText="1"/>
    </xf>
    <xf numFmtId="9" fontId="40" fillId="0" borderId="3" xfId="27" applyFont="1" applyBorder="1" applyAlignment="1">
      <alignment horizontal="center" vertical="center" wrapText="1"/>
    </xf>
    <xf numFmtId="191" fontId="40" fillId="0" borderId="48" xfId="35" applyNumberFormat="1" applyFont="1" applyBorder="1" applyAlignment="1">
      <alignment horizontal="center" vertical="center" wrapText="1"/>
    </xf>
    <xf numFmtId="191" fontId="40" fillId="0" borderId="50" xfId="0" applyNumberFormat="1" applyFont="1" applyBorder="1" applyAlignment="1">
      <alignment horizontal="right" vertical="center" wrapText="1"/>
    </xf>
    <xf numFmtId="0" fontId="40" fillId="0" borderId="3" xfId="0" applyFont="1" applyFill="1" applyBorder="1" applyAlignment="1">
      <alignment horizontal="center" vertical="center" wrapText="1"/>
    </xf>
    <xf numFmtId="191" fontId="40" fillId="0" borderId="3" xfId="0" applyNumberFormat="1" applyFont="1" applyFill="1" applyBorder="1" applyAlignment="1">
      <alignment horizontal="right" vertical="center" wrapText="1"/>
    </xf>
    <xf numFmtId="0" fontId="44" fillId="5" borderId="3" xfId="0" applyFont="1" applyFill="1" applyBorder="1" applyAlignment="1">
      <alignment horizontal="center" vertical="center" wrapText="1"/>
    </xf>
    <xf numFmtId="0" fontId="0" fillId="0" borderId="3" xfId="0" applyFont="1" applyBorder="1" applyAlignment="1">
      <alignment horizontal="left" vertical="center" wrapText="1" shrinkToFit="1"/>
    </xf>
    <xf numFmtId="0" fontId="39" fillId="0" borderId="0" xfId="0" applyFont="1">
      <alignment vertical="center"/>
    </xf>
    <xf numFmtId="11" fontId="0" fillId="0" borderId="3" xfId="0" applyNumberFormat="1" applyFont="1" applyBorder="1" applyAlignment="1">
      <alignment horizontal="right" vertical="center" shrinkToFit="1"/>
    </xf>
    <xf numFmtId="11" fontId="0" fillId="0" borderId="3" xfId="0" applyNumberFormat="1" applyFont="1" applyFill="1" applyBorder="1" applyAlignment="1">
      <alignment horizontal="right" vertical="center" wrapText="1"/>
    </xf>
    <xf numFmtId="191" fontId="0" fillId="0" borderId="3" xfId="0" applyNumberFormat="1" applyFont="1" applyBorder="1" applyAlignment="1">
      <alignment horizontal="right" vertical="center" shrinkToFit="1"/>
    </xf>
    <xf numFmtId="10" fontId="17" fillId="0" borderId="0" xfId="0" applyNumberFormat="1" applyFont="1" applyFill="1" applyBorder="1" applyAlignment="1">
      <alignment horizontal="left" vertical="center" shrinkToFit="1"/>
    </xf>
    <xf numFmtId="0" fontId="11" fillId="0" borderId="51" xfId="53" applyFont="1" applyBorder="1" applyAlignment="1">
      <alignment vertical="center" wrapText="1"/>
    </xf>
    <xf numFmtId="0" fontId="11" fillId="0" borderId="27" xfId="53" applyFont="1" applyBorder="1" applyAlignment="1">
      <alignment vertical="center" wrapText="1"/>
    </xf>
    <xf numFmtId="0" fontId="11" fillId="0" borderId="43" xfId="53" applyFont="1" applyBorder="1" applyAlignment="1">
      <alignment vertical="center" wrapText="1"/>
    </xf>
    <xf numFmtId="0" fontId="11" fillId="0" borderId="52" xfId="53" applyFont="1" applyBorder="1" applyAlignment="1">
      <alignment vertical="center" wrapText="1"/>
    </xf>
    <xf numFmtId="0" fontId="11" fillId="0" borderId="0" xfId="53" applyFont="1" applyBorder="1" applyAlignment="1">
      <alignment vertical="center" wrapText="1"/>
    </xf>
    <xf numFmtId="0" fontId="11" fillId="0" borderId="17" xfId="53" applyFont="1" applyBorder="1" applyAlignment="1">
      <alignment vertical="center" wrapText="1"/>
    </xf>
    <xf numFmtId="0" fontId="11" fillId="0" borderId="4" xfId="53" applyFont="1" applyBorder="1" applyAlignment="1">
      <alignment vertical="center" wrapText="1"/>
    </xf>
    <xf numFmtId="0" fontId="11" fillId="0" borderId="29" xfId="53" applyFont="1" applyBorder="1" applyAlignment="1">
      <alignment vertical="center" wrapText="1"/>
    </xf>
    <xf numFmtId="0" fontId="17" fillId="7" borderId="3" xfId="0" applyFont="1" applyFill="1" applyBorder="1" applyAlignment="1">
      <alignment vertical="center" shrinkToFit="1"/>
    </xf>
    <xf numFmtId="0" fontId="17" fillId="7" borderId="3" xfId="0" applyFont="1" applyFill="1" applyBorder="1">
      <alignment vertical="center"/>
    </xf>
    <xf numFmtId="0" fontId="17" fillId="7" borderId="38" xfId="0" applyFont="1" applyFill="1" applyBorder="1" applyAlignment="1">
      <alignment horizontal="center" vertical="center" shrinkToFit="1"/>
    </xf>
    <xf numFmtId="0" fontId="17" fillId="7" borderId="38" xfId="0" applyFont="1" applyFill="1" applyBorder="1">
      <alignment vertical="center"/>
    </xf>
    <xf numFmtId="0" fontId="17" fillId="7" borderId="0" xfId="0" applyFont="1" applyFill="1">
      <alignment vertical="center"/>
    </xf>
    <xf numFmtId="0" fontId="77" fillId="0" borderId="0" xfId="53" applyFont="1">
      <alignment vertical="center"/>
    </xf>
    <xf numFmtId="0" fontId="77" fillId="0" borderId="0" xfId="64" applyFont="1">
      <alignment vertical="center"/>
    </xf>
    <xf numFmtId="0" fontId="39" fillId="0" borderId="20" xfId="0" applyFont="1" applyFill="1" applyBorder="1" applyAlignment="1">
      <alignment horizontal="center" vertical="center" shrinkToFit="1"/>
    </xf>
    <xf numFmtId="11" fontId="39" fillId="0" borderId="20" xfId="0" applyNumberFormat="1" applyFont="1" applyFill="1" applyBorder="1" applyAlignment="1">
      <alignment horizontal="center" vertical="center" shrinkToFit="1"/>
    </xf>
    <xf numFmtId="0" fontId="39" fillId="0" borderId="20" xfId="0" applyFont="1" applyFill="1" applyBorder="1" applyAlignment="1">
      <alignment horizontal="center" vertical="center" wrapText="1"/>
    </xf>
    <xf numFmtId="176" fontId="39" fillId="0" borderId="20" xfId="0" applyNumberFormat="1" applyFont="1" applyFill="1" applyBorder="1" applyAlignment="1">
      <alignment horizontal="center" vertical="center" shrinkToFit="1"/>
    </xf>
    <xf numFmtId="0" fontId="39" fillId="0" borderId="3" xfId="0" applyNumberFormat="1" applyFont="1" applyFill="1" applyBorder="1" applyAlignment="1">
      <alignment horizontal="center" vertical="center" shrinkToFit="1"/>
    </xf>
    <xf numFmtId="11" fontId="78" fillId="0" borderId="20" xfId="0" applyNumberFormat="1" applyFont="1" applyFill="1" applyBorder="1" applyAlignment="1">
      <alignment horizontal="center" vertical="center" shrinkToFit="1"/>
    </xf>
    <xf numFmtId="11" fontId="78" fillId="0" borderId="8" xfId="0" applyNumberFormat="1" applyFont="1" applyFill="1" applyBorder="1" applyAlignment="1">
      <alignment horizontal="center" vertical="center" shrinkToFit="1"/>
    </xf>
    <xf numFmtId="176" fontId="78" fillId="0" borderId="8" xfId="0" applyNumberFormat="1" applyFont="1" applyFill="1" applyBorder="1" applyAlignment="1">
      <alignment horizontal="center" vertical="center" shrinkToFit="1"/>
    </xf>
    <xf numFmtId="0" fontId="78" fillId="0" borderId="3" xfId="0" applyFont="1" applyFill="1" applyBorder="1" applyAlignment="1">
      <alignment horizontal="center" vertical="center" wrapText="1"/>
    </xf>
    <xf numFmtId="0" fontId="78" fillId="0" borderId="3" xfId="0" applyFont="1" applyFill="1" applyBorder="1" applyAlignment="1">
      <alignment horizontal="center" vertical="center" shrinkToFit="1"/>
    </xf>
    <xf numFmtId="0" fontId="78" fillId="0" borderId="20" xfId="0" applyFont="1" applyFill="1" applyBorder="1" applyAlignment="1">
      <alignment horizontal="center" vertical="center" shrinkToFit="1"/>
    </xf>
    <xf numFmtId="0" fontId="78" fillId="0" borderId="8" xfId="0" applyFont="1" applyFill="1" applyBorder="1" applyAlignment="1">
      <alignment horizontal="center" vertical="center" shrinkToFit="1"/>
    </xf>
    <xf numFmtId="0" fontId="78" fillId="13" borderId="3" xfId="0" applyFont="1" applyFill="1" applyBorder="1" applyAlignment="1">
      <alignment horizontal="center" vertical="center" wrapText="1"/>
    </xf>
    <xf numFmtId="11" fontId="78" fillId="0" borderId="3" xfId="0" applyNumberFormat="1" applyFont="1" applyFill="1" applyBorder="1" applyAlignment="1">
      <alignment horizontal="center" vertical="center" shrinkToFit="1"/>
    </xf>
    <xf numFmtId="40" fontId="78" fillId="13" borderId="3" xfId="0" applyNumberFormat="1" applyFont="1" applyFill="1" applyBorder="1" applyAlignment="1">
      <alignment horizontal="center" vertical="center" wrapText="1"/>
    </xf>
    <xf numFmtId="0" fontId="78" fillId="0" borderId="3" xfId="0" applyNumberFormat="1" applyFont="1" applyFill="1" applyBorder="1" applyAlignment="1">
      <alignment horizontal="center" vertical="center" shrinkToFit="1"/>
    </xf>
    <xf numFmtId="176" fontId="78" fillId="0" borderId="3" xfId="0" applyNumberFormat="1" applyFont="1" applyFill="1" applyBorder="1" applyAlignment="1">
      <alignment horizontal="center" vertical="center" shrinkToFit="1"/>
    </xf>
    <xf numFmtId="11" fontId="78" fillId="0" borderId="12" xfId="0" applyNumberFormat="1" applyFont="1" applyFill="1" applyBorder="1" applyAlignment="1">
      <alignment horizontal="center" vertical="center" shrinkToFit="1"/>
    </xf>
    <xf numFmtId="176" fontId="78" fillId="0" borderId="12" xfId="0" applyNumberFormat="1" applyFont="1" applyFill="1" applyBorder="1" applyAlignment="1">
      <alignment horizontal="center" vertical="center" shrinkToFit="1"/>
    </xf>
    <xf numFmtId="0" fontId="78" fillId="0" borderId="12" xfId="0" applyFont="1" applyFill="1" applyBorder="1" applyAlignment="1">
      <alignment horizontal="center" vertical="center" shrinkToFit="1"/>
    </xf>
    <xf numFmtId="0" fontId="39" fillId="0" borderId="20" xfId="0" applyFont="1" applyFill="1" applyBorder="1" applyAlignment="1">
      <alignment horizontal="center" vertical="center" wrapText="1" shrinkToFit="1"/>
    </xf>
    <xf numFmtId="191" fontId="39" fillId="0" borderId="20" xfId="0" applyNumberFormat="1" applyFont="1" applyFill="1" applyBorder="1" applyAlignment="1">
      <alignment horizontal="center" vertical="center" shrinkToFit="1"/>
    </xf>
    <xf numFmtId="11" fontId="39" fillId="0" borderId="20" xfId="0" applyNumberFormat="1" applyFont="1" applyFill="1" applyBorder="1" applyAlignment="1">
      <alignment horizontal="center" vertical="center" wrapText="1" shrinkToFit="1"/>
    </xf>
    <xf numFmtId="191" fontId="78" fillId="0" borderId="20" xfId="0" applyNumberFormat="1" applyFont="1" applyFill="1" applyBorder="1" applyAlignment="1">
      <alignment horizontal="center" vertical="center" shrinkToFit="1"/>
    </xf>
    <xf numFmtId="191" fontId="78" fillId="0" borderId="3" xfId="0" applyNumberFormat="1" applyFont="1" applyFill="1" applyBorder="1" applyAlignment="1">
      <alignment horizontal="center" vertical="center" shrinkToFit="1"/>
    </xf>
    <xf numFmtId="0" fontId="54" fillId="3" borderId="22"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39" fillId="0" borderId="3" xfId="0" applyFont="1" applyFill="1" applyBorder="1" applyAlignment="1">
      <alignment horizontal="center" vertical="center" wrapText="1" shrinkToFit="1"/>
    </xf>
    <xf numFmtId="0" fontId="39" fillId="0" borderId="8" xfId="0" applyFont="1" applyFill="1" applyBorder="1" applyAlignment="1">
      <alignment horizontal="center" vertical="center" wrapText="1" shrinkToFit="1"/>
    </xf>
    <xf numFmtId="0" fontId="78" fillId="0" borderId="20" xfId="0" applyFont="1" applyFill="1" applyBorder="1" applyAlignment="1">
      <alignment horizontal="center" vertical="center" wrapText="1" shrinkToFit="1"/>
    </xf>
    <xf numFmtId="0" fontId="78" fillId="0" borderId="3" xfId="0" applyFont="1" applyFill="1" applyBorder="1" applyAlignment="1">
      <alignment horizontal="center" vertical="center" wrapText="1" shrinkToFit="1"/>
    </xf>
    <xf numFmtId="11" fontId="78" fillId="0" borderId="38" xfId="0" applyNumberFormat="1" applyFont="1" applyFill="1" applyBorder="1" applyAlignment="1">
      <alignment horizontal="center" vertical="center" shrinkToFit="1"/>
    </xf>
    <xf numFmtId="0" fontId="0" fillId="0" borderId="44" xfId="0" applyFont="1" applyBorder="1" applyAlignment="1">
      <alignment vertical="center" shrinkToFit="1"/>
    </xf>
    <xf numFmtId="0" fontId="0" fillId="0" borderId="46" xfId="0" applyFont="1" applyBorder="1" applyAlignment="1">
      <alignment vertical="center" shrinkToFit="1"/>
    </xf>
    <xf numFmtId="176" fontId="78" fillId="0" borderId="38" xfId="0" applyNumberFormat="1" applyFont="1" applyFill="1" applyBorder="1" applyAlignment="1">
      <alignment horizontal="center" vertical="center" shrinkToFit="1"/>
    </xf>
    <xf numFmtId="0" fontId="0" fillId="0" borderId="9" xfId="0" applyFont="1" applyBorder="1" applyAlignment="1">
      <alignment vertical="center"/>
    </xf>
    <xf numFmtId="11" fontId="0" fillId="13" borderId="3"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7" borderId="3" xfId="0" applyFont="1" applyFill="1" applyBorder="1" applyAlignment="1">
      <alignment vertical="center" shrinkToFit="1"/>
    </xf>
    <xf numFmtId="0" fontId="0" fillId="9" borderId="3" xfId="0" applyFill="1" applyBorder="1" applyAlignment="1">
      <alignment horizontal="center" vertical="center"/>
    </xf>
    <xf numFmtId="38" fontId="0" fillId="9" borderId="3" xfId="0" applyNumberFormat="1" applyFill="1" applyBorder="1" applyAlignment="1">
      <alignment horizontal="right" vertical="center"/>
    </xf>
    <xf numFmtId="0" fontId="0" fillId="9" borderId="3" xfId="0" applyFill="1" applyBorder="1" applyAlignment="1">
      <alignment horizontal="right" vertical="center"/>
    </xf>
    <xf numFmtId="0" fontId="0" fillId="9" borderId="3" xfId="0" applyFill="1" applyBorder="1" applyAlignment="1">
      <alignment horizontal="left" vertical="center"/>
    </xf>
    <xf numFmtId="9" fontId="9" fillId="9" borderId="3" xfId="27" applyFont="1" applyFill="1" applyBorder="1" applyAlignment="1">
      <alignment horizontal="right" vertical="center"/>
    </xf>
    <xf numFmtId="0" fontId="0" fillId="9" borderId="3" xfId="0" applyFill="1" applyBorder="1" applyAlignment="1">
      <alignment horizontal="left" vertical="center" wrapText="1"/>
    </xf>
    <xf numFmtId="190" fontId="9" fillId="9" borderId="3" xfId="27" applyNumberFormat="1" applyFont="1" applyFill="1" applyBorder="1" applyAlignment="1">
      <alignment horizontal="right" vertical="center"/>
    </xf>
    <xf numFmtId="0" fontId="0" fillId="9" borderId="0" xfId="0" applyFill="1" applyBorder="1" applyAlignment="1">
      <alignment horizontal="left" vertical="center"/>
    </xf>
    <xf numFmtId="0" fontId="0" fillId="9" borderId="0" xfId="0" applyFill="1" applyBorder="1" applyAlignment="1">
      <alignment horizontal="left" vertical="center" wrapText="1"/>
    </xf>
    <xf numFmtId="0" fontId="0" fillId="9" borderId="0" xfId="0" applyFill="1" applyBorder="1" applyAlignment="1">
      <alignment horizontal="right" vertical="center"/>
    </xf>
    <xf numFmtId="40" fontId="9" fillId="9" borderId="0" xfId="35" applyNumberFormat="1" applyFont="1" applyFill="1" applyBorder="1" applyAlignment="1">
      <alignment horizontal="right" vertical="center"/>
    </xf>
    <xf numFmtId="0" fontId="0" fillId="9" borderId="3" xfId="0" applyFill="1" applyBorder="1" applyAlignment="1">
      <alignment horizontal="center" vertical="center" wrapText="1"/>
    </xf>
    <xf numFmtId="11" fontId="11" fillId="0" borderId="0" xfId="53" quotePrefix="1" applyNumberFormat="1" applyFont="1">
      <alignment vertical="center"/>
    </xf>
    <xf numFmtId="9" fontId="0" fillId="0" borderId="0" xfId="27" applyFont="1">
      <alignment vertical="center"/>
    </xf>
    <xf numFmtId="11" fontId="79" fillId="12" borderId="0" xfId="0" applyNumberFormat="1" applyFont="1" applyFill="1">
      <alignment vertical="center"/>
    </xf>
    <xf numFmtId="9" fontId="79" fillId="12" borderId="0" xfId="27" applyFont="1" applyFill="1">
      <alignment vertical="center"/>
    </xf>
    <xf numFmtId="40" fontId="9" fillId="9" borderId="3" xfId="35" applyNumberFormat="1" applyFont="1" applyFill="1" applyBorder="1" applyAlignment="1">
      <alignment horizontal="right" vertical="center"/>
    </xf>
    <xf numFmtId="0" fontId="40" fillId="0" borderId="27" xfId="97" applyFont="1" applyFill="1" applyBorder="1" applyAlignment="1">
      <alignment vertical="center" wrapText="1"/>
    </xf>
    <xf numFmtId="0" fontId="40" fillId="0" borderId="51" xfId="97" applyFont="1" applyFill="1" applyBorder="1" applyAlignment="1">
      <alignment vertical="center" wrapText="1"/>
    </xf>
    <xf numFmtId="0" fontId="40" fillId="0" borderId="43" xfId="97" applyFont="1" applyFill="1" applyBorder="1" applyAlignment="1">
      <alignment vertical="center" wrapText="1"/>
    </xf>
    <xf numFmtId="0" fontId="40" fillId="0" borderId="0" xfId="97" applyFont="1" applyFill="1" applyBorder="1" applyAlignment="1">
      <alignment vertical="center" wrapText="1"/>
    </xf>
    <xf numFmtId="0" fontId="40" fillId="0" borderId="4" xfId="97" applyFont="1" applyFill="1" applyBorder="1" applyAlignment="1">
      <alignment vertical="center" wrapText="1"/>
    </xf>
    <xf numFmtId="0" fontId="45" fillId="0" borderId="0" xfId="31" applyFill="1" applyBorder="1" applyAlignment="1" applyProtection="1">
      <alignment vertical="center" wrapText="1"/>
    </xf>
    <xf numFmtId="0" fontId="40" fillId="0" borderId="0" xfId="97" applyFont="1" applyFill="1" applyBorder="1" applyAlignment="1">
      <alignment horizontal="center" vertical="center" wrapText="1"/>
    </xf>
    <xf numFmtId="0" fontId="46" fillId="0" borderId="33" xfId="53" applyFont="1" applyBorder="1" applyAlignment="1">
      <alignment vertical="center" wrapText="1"/>
    </xf>
    <xf numFmtId="0" fontId="46" fillId="0" borderId="31" xfId="53" applyFont="1" applyBorder="1" applyAlignment="1">
      <alignment vertical="center" wrapText="1"/>
    </xf>
    <xf numFmtId="0" fontId="9" fillId="0" borderId="0" xfId="97" applyNumberFormat="1" applyFont="1" applyFill="1" applyBorder="1" applyAlignment="1">
      <alignment horizontal="center" vertical="center" wrapText="1"/>
    </xf>
    <xf numFmtId="0" fontId="78" fillId="13" borderId="20" xfId="0" applyFont="1" applyFill="1" applyBorder="1" applyAlignment="1">
      <alignment horizontal="center" vertical="center" shrinkToFit="1"/>
    </xf>
    <xf numFmtId="11" fontId="78" fillId="13" borderId="3" xfId="0" applyNumberFormat="1" applyFont="1" applyFill="1" applyBorder="1" applyAlignment="1">
      <alignment horizontal="center" vertical="center" shrinkToFit="1"/>
    </xf>
    <xf numFmtId="176" fontId="78" fillId="13" borderId="3" xfId="0" applyNumberFormat="1" applyFont="1" applyFill="1" applyBorder="1" applyAlignment="1">
      <alignment horizontal="center" vertical="center" shrinkToFit="1"/>
    </xf>
    <xf numFmtId="0" fontId="39" fillId="13" borderId="20" xfId="0" applyFont="1" applyFill="1" applyBorder="1" applyAlignment="1">
      <alignment horizontal="center" vertical="center" shrinkToFit="1"/>
    </xf>
    <xf numFmtId="0" fontId="85" fillId="0" borderId="0" xfId="97" applyFont="1" applyFill="1" applyBorder="1" applyAlignment="1">
      <alignment horizontal="center" vertical="center" wrapText="1"/>
    </xf>
    <xf numFmtId="11" fontId="77" fillId="0" borderId="0" xfId="53" applyNumberFormat="1" applyFont="1">
      <alignment vertical="center"/>
    </xf>
    <xf numFmtId="0" fontId="77" fillId="18" borderId="0" xfId="53" applyFont="1" applyFill="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38" fontId="0" fillId="0" borderId="0" xfId="35" applyFont="1" applyAlignment="1">
      <alignment horizontal="right" vertical="center"/>
    </xf>
    <xf numFmtId="0" fontId="0" fillId="0" borderId="0" xfId="0" applyAlignment="1">
      <alignment horizontal="left" vertical="center"/>
    </xf>
    <xf numFmtId="0" fontId="0" fillId="10" borderId="3" xfId="0" applyFill="1" applyBorder="1" applyAlignment="1">
      <alignment horizontal="center" vertical="center"/>
    </xf>
    <xf numFmtId="0" fontId="0" fillId="10" borderId="2" xfId="0" applyFill="1" applyBorder="1" applyAlignment="1">
      <alignment vertical="center"/>
    </xf>
    <xf numFmtId="0" fontId="0" fillId="10" borderId="46" xfId="0" applyFill="1" applyBorder="1" applyAlignment="1">
      <alignment vertical="center"/>
    </xf>
    <xf numFmtId="0" fontId="0" fillId="0" borderId="3" xfId="0" applyBorder="1" applyAlignment="1">
      <alignment horizontal="center" vertical="center"/>
    </xf>
    <xf numFmtId="38" fontId="9" fillId="10" borderId="3" xfId="35" applyFont="1" applyFill="1" applyBorder="1" applyAlignment="1">
      <alignment horizontal="center" vertical="center"/>
    </xf>
    <xf numFmtId="0" fontId="0" fillId="10" borderId="3" xfId="0" applyFill="1" applyBorder="1" applyAlignment="1">
      <alignment horizontal="center" vertical="center" wrapText="1"/>
    </xf>
    <xf numFmtId="0" fontId="0" fillId="0" borderId="3" xfId="0" applyBorder="1" applyAlignment="1">
      <alignment horizontal="right" vertical="center"/>
    </xf>
    <xf numFmtId="38" fontId="9" fillId="9" borderId="3" xfId="35" applyFont="1" applyFill="1" applyBorder="1" applyAlignment="1">
      <alignment horizontal="right" vertical="center"/>
    </xf>
    <xf numFmtId="0" fontId="0" fillId="0" borderId="0" xfId="0" applyBorder="1" applyAlignment="1">
      <alignment vertical="center"/>
    </xf>
    <xf numFmtId="38" fontId="0" fillId="0" borderId="3" xfId="35" applyFont="1" applyBorder="1" applyAlignment="1">
      <alignment horizontal="right" vertical="center"/>
    </xf>
    <xf numFmtId="189" fontId="9" fillId="9" borderId="3" xfId="35" applyNumberFormat="1" applyFont="1" applyFill="1" applyBorder="1" applyAlignment="1">
      <alignment horizontal="right" vertical="center"/>
    </xf>
    <xf numFmtId="0" fontId="0" fillId="9" borderId="3" xfId="0" applyFill="1" applyBorder="1" applyAlignment="1">
      <alignment vertical="center"/>
    </xf>
    <xf numFmtId="38" fontId="9" fillId="9" borderId="44" xfId="35" applyFont="1" applyFill="1" applyBorder="1" applyAlignment="1">
      <alignment horizontal="right" vertical="center"/>
    </xf>
    <xf numFmtId="0" fontId="0" fillId="9" borderId="3" xfId="0" applyFont="1" applyFill="1" applyBorder="1" applyAlignment="1">
      <alignment horizontal="right" vertical="center"/>
    </xf>
    <xf numFmtId="192" fontId="0" fillId="9" borderId="3" xfId="0" applyNumberFormat="1" applyFill="1" applyBorder="1" applyAlignment="1">
      <alignment horizontal="right" vertical="center"/>
    </xf>
    <xf numFmtId="189" fontId="0" fillId="0" borderId="3" xfId="35" applyNumberFormat="1" applyFont="1" applyBorder="1" applyAlignment="1">
      <alignment horizontal="right" vertical="center"/>
    </xf>
    <xf numFmtId="0" fontId="0" fillId="10" borderId="3" xfId="0" applyFill="1" applyBorder="1" applyAlignment="1">
      <alignment vertical="center"/>
    </xf>
    <xf numFmtId="0" fontId="0" fillId="9" borderId="0" xfId="0" applyFill="1" applyAlignment="1">
      <alignment horizontal="right" vertical="center"/>
    </xf>
    <xf numFmtId="0" fontId="0" fillId="9" borderId="0" xfId="0" applyFill="1" applyAlignment="1">
      <alignment horizontal="center" vertical="center"/>
    </xf>
    <xf numFmtId="0" fontId="0" fillId="9" borderId="0" xfId="0" applyFill="1" applyAlignment="1">
      <alignment vertical="center"/>
    </xf>
    <xf numFmtId="38" fontId="9" fillId="9" borderId="0" xfId="35" applyFont="1" applyFill="1" applyAlignment="1">
      <alignment horizontal="right" vertical="center"/>
    </xf>
    <xf numFmtId="0" fontId="76" fillId="0" borderId="0" xfId="0" applyFont="1" applyAlignment="1">
      <alignment horizontal="left" vertical="center"/>
    </xf>
    <xf numFmtId="38" fontId="0" fillId="9" borderId="3" xfId="0" applyNumberFormat="1" applyFill="1" applyBorder="1" applyAlignment="1">
      <alignment vertical="center"/>
    </xf>
    <xf numFmtId="9" fontId="9" fillId="9" borderId="3" xfId="27" applyFont="1" applyFill="1" applyBorder="1" applyAlignment="1">
      <alignment vertical="center"/>
    </xf>
    <xf numFmtId="190" fontId="9" fillId="9" borderId="3" xfId="27" applyNumberFormat="1" applyFont="1" applyFill="1" applyBorder="1" applyAlignment="1">
      <alignment vertical="center"/>
    </xf>
    <xf numFmtId="40" fontId="9" fillId="9" borderId="3" xfId="35" applyNumberFormat="1" applyFont="1" applyFill="1" applyBorder="1" applyAlignment="1">
      <alignment vertical="center"/>
    </xf>
    <xf numFmtId="40" fontId="9" fillId="9" borderId="0" xfId="35" applyNumberFormat="1" applyFont="1" applyFill="1" applyBorder="1" applyAlignment="1">
      <alignment vertical="center"/>
    </xf>
    <xf numFmtId="0" fontId="0" fillId="9" borderId="0" xfId="0" applyFill="1" applyAlignment="1">
      <alignment horizontal="left" vertical="center"/>
    </xf>
    <xf numFmtId="38" fontId="9" fillId="9" borderId="0" xfId="35" applyFont="1" applyFill="1" applyAlignment="1">
      <alignment horizontal="left" vertical="center"/>
    </xf>
    <xf numFmtId="0" fontId="0" fillId="17" borderId="3" xfId="0" applyFill="1" applyBorder="1" applyAlignment="1">
      <alignment vertical="center" wrapText="1"/>
    </xf>
    <xf numFmtId="0" fontId="0" fillId="0" borderId="0" xfId="0" applyFont="1" applyBorder="1" applyAlignment="1">
      <alignment horizontal="center" vertical="center" shrinkToFit="1"/>
    </xf>
    <xf numFmtId="195" fontId="0" fillId="9" borderId="3" xfId="35" applyNumberFormat="1" applyFont="1" applyFill="1" applyBorder="1" applyAlignment="1">
      <alignment horizontal="right" vertical="center"/>
    </xf>
    <xf numFmtId="0" fontId="0" fillId="9" borderId="3" xfId="0" applyFill="1" applyBorder="1" applyAlignment="1">
      <alignment vertical="center" wrapText="1"/>
    </xf>
    <xf numFmtId="0" fontId="0" fillId="0" borderId="3" xfId="0" applyFill="1" applyBorder="1" applyAlignment="1">
      <alignment vertical="center" wrapText="1"/>
    </xf>
    <xf numFmtId="0" fontId="8" fillId="17" borderId="3" xfId="182" applyFill="1" applyBorder="1" applyAlignment="1">
      <alignment vertical="center" wrapText="1"/>
    </xf>
    <xf numFmtId="14" fontId="8" fillId="17" borderId="3" xfId="182" applyNumberFormat="1" applyFill="1" applyBorder="1" applyAlignment="1">
      <alignment horizontal="center" vertical="center"/>
    </xf>
    <xf numFmtId="0" fontId="0" fillId="0" borderId="0" xfId="0" applyFont="1" applyFill="1">
      <alignment vertical="center"/>
    </xf>
    <xf numFmtId="191" fontId="37" fillId="0" borderId="0" xfId="0" applyNumberFormat="1" applyFont="1" applyAlignment="1">
      <alignment horizontal="right" vertical="center"/>
    </xf>
    <xf numFmtId="191" fontId="19" fillId="0" borderId="0" xfId="0" applyNumberFormat="1" applyFont="1" applyAlignment="1">
      <alignment horizontal="right" vertical="center" shrinkToFit="1"/>
    </xf>
    <xf numFmtId="193" fontId="19" fillId="0" borderId="0" xfId="0" applyNumberFormat="1" applyFont="1" applyAlignment="1">
      <alignment horizontal="right" vertical="center" shrinkToFit="1"/>
    </xf>
    <xf numFmtId="14" fontId="71" fillId="17" borderId="3" xfId="182" applyNumberFormat="1" applyFont="1" applyFill="1" applyBorder="1" applyAlignment="1">
      <alignment horizontal="center" vertical="center"/>
    </xf>
    <xf numFmtId="38" fontId="87" fillId="9" borderId="3" xfId="35" applyFont="1" applyFill="1" applyBorder="1" applyAlignment="1">
      <alignment horizontal="right" vertical="center"/>
    </xf>
    <xf numFmtId="0" fontId="0" fillId="0" borderId="0" xfId="0" applyFont="1" applyFill="1" applyBorder="1" applyAlignment="1">
      <alignment horizontal="left" vertical="center" wrapText="1"/>
    </xf>
    <xf numFmtId="40" fontId="0" fillId="0" borderId="3" xfId="35" applyNumberFormat="1" applyFont="1" applyBorder="1" applyAlignment="1">
      <alignment vertical="center" shrinkToFit="1"/>
    </xf>
    <xf numFmtId="0" fontId="0" fillId="17" borderId="3" xfId="0" applyFont="1" applyFill="1" applyBorder="1" applyAlignment="1">
      <alignment horizontal="left" vertical="center" wrapText="1"/>
    </xf>
    <xf numFmtId="0" fontId="0" fillId="17" borderId="3" xfId="0" applyFont="1" applyFill="1" applyBorder="1" applyAlignment="1">
      <alignment vertical="center" shrinkToFit="1"/>
    </xf>
    <xf numFmtId="38" fontId="51" fillId="0" borderId="0" xfId="53" applyNumberFormat="1" applyFont="1">
      <alignment vertical="center"/>
    </xf>
    <xf numFmtId="38" fontId="0" fillId="0" borderId="3" xfId="35" applyFont="1" applyBorder="1" applyAlignment="1">
      <alignment horizontal="left" vertical="center"/>
    </xf>
    <xf numFmtId="0" fontId="0" fillId="0" borderId="0" xfId="0" applyFont="1" applyBorder="1" applyAlignment="1">
      <alignment horizontal="center" vertical="center" shrinkToFit="1"/>
    </xf>
    <xf numFmtId="0" fontId="40" fillId="0" borderId="20" xfId="0" applyFont="1" applyBorder="1" applyAlignment="1">
      <alignment horizontal="center" vertical="center" wrapText="1"/>
    </xf>
    <xf numFmtId="0" fontId="40" fillId="0" borderId="22" xfId="0" applyFont="1" applyBorder="1" applyAlignment="1">
      <alignment horizontal="center" vertical="center" wrapText="1"/>
    </xf>
    <xf numFmtId="0" fontId="44" fillId="5" borderId="14" xfId="0" applyFont="1" applyFill="1" applyBorder="1" applyAlignment="1">
      <alignment horizontal="center" vertical="center" wrapText="1"/>
    </xf>
    <xf numFmtId="0" fontId="40" fillId="0" borderId="3" xfId="0" applyFont="1" applyBorder="1" applyAlignment="1">
      <alignment horizontal="center" vertical="center" wrapText="1"/>
    </xf>
    <xf numFmtId="191" fontId="40" fillId="0" borderId="3" xfId="0" applyNumberFormat="1" applyFont="1" applyBorder="1" applyAlignment="1">
      <alignment horizontal="right" vertical="center" wrapText="1"/>
    </xf>
    <xf numFmtId="0" fontId="7" fillId="17" borderId="3" xfId="182" applyFont="1" applyFill="1" applyBorder="1" applyAlignment="1">
      <alignment vertical="center" wrapText="1"/>
    </xf>
    <xf numFmtId="0" fontId="6" fillId="17" borderId="3" xfId="182" applyFont="1" applyFill="1" applyBorder="1" applyAlignment="1">
      <alignment vertical="center" wrapText="1"/>
    </xf>
    <xf numFmtId="38" fontId="0" fillId="0" borderId="0" xfId="35" applyFont="1" applyBorder="1" applyAlignment="1">
      <alignment vertical="center"/>
    </xf>
    <xf numFmtId="38" fontId="0" fillId="0" borderId="0" xfId="35" applyFont="1" applyBorder="1" applyAlignment="1">
      <alignment horizontal="left" vertical="center"/>
    </xf>
    <xf numFmtId="0" fontId="0" fillId="9" borderId="0" xfId="0" applyFill="1" applyBorder="1" applyAlignment="1">
      <alignment horizontal="center" vertical="center"/>
    </xf>
    <xf numFmtId="38" fontId="0" fillId="9" borderId="0" xfId="0" applyNumberFormat="1" applyFill="1" applyBorder="1" applyAlignment="1">
      <alignment horizontal="right" vertical="center"/>
    </xf>
    <xf numFmtId="9" fontId="9" fillId="9" borderId="0" xfId="27" applyFont="1" applyFill="1" applyBorder="1" applyAlignment="1">
      <alignment horizontal="right" vertical="center"/>
    </xf>
    <xf numFmtId="190" fontId="9" fillId="9" borderId="0" xfId="27" applyNumberFormat="1" applyFont="1" applyFill="1" applyBorder="1" applyAlignment="1">
      <alignment horizontal="right" vertical="center"/>
    </xf>
    <xf numFmtId="38" fontId="0" fillId="9" borderId="0" xfId="0" applyNumberFormat="1" applyFill="1" applyBorder="1" applyAlignment="1">
      <alignment vertical="center"/>
    </xf>
    <xf numFmtId="9" fontId="9" fillId="9" borderId="0" xfId="27" applyFont="1" applyFill="1" applyBorder="1" applyAlignment="1">
      <alignment vertical="center"/>
    </xf>
    <xf numFmtId="190" fontId="9" fillId="9" borderId="0" xfId="27" applyNumberFormat="1" applyFont="1" applyFill="1" applyBorder="1" applyAlignment="1">
      <alignment vertical="center"/>
    </xf>
    <xf numFmtId="0" fontId="0" fillId="9" borderId="0" xfId="0" applyFill="1" applyBorder="1" applyAlignment="1">
      <alignment vertical="center"/>
    </xf>
    <xf numFmtId="38" fontId="0" fillId="10" borderId="3" xfId="35" applyFont="1" applyFill="1" applyBorder="1" applyAlignment="1">
      <alignment horizontal="center" vertical="center"/>
    </xf>
    <xf numFmtId="0" fontId="0" fillId="0" borderId="3" xfId="0" applyBorder="1" applyAlignment="1">
      <alignment horizontal="left" vertical="center"/>
    </xf>
    <xf numFmtId="11" fontId="40" fillId="0" borderId="10" xfId="35" applyNumberFormat="1" applyFont="1" applyFill="1" applyBorder="1" applyAlignment="1">
      <alignment horizontal="left" vertical="center" wrapText="1" shrinkToFit="1"/>
    </xf>
    <xf numFmtId="38" fontId="40" fillId="0" borderId="10" xfId="0" applyNumberFormat="1" applyFont="1" applyBorder="1" applyAlignment="1">
      <alignment vertical="center" wrapText="1"/>
    </xf>
    <xf numFmtId="0" fontId="40" fillId="0" borderId="3" xfId="0" applyFont="1" applyFill="1" applyBorder="1" applyAlignment="1">
      <alignment vertical="center" wrapText="1"/>
    </xf>
    <xf numFmtId="191" fontId="40" fillId="0" borderId="10" xfId="0" applyNumberFormat="1" applyFont="1" applyBorder="1" applyAlignment="1">
      <alignment vertical="center" wrapText="1"/>
    </xf>
    <xf numFmtId="191" fontId="0" fillId="0" borderId="0" xfId="0" applyNumberFormat="1" applyFont="1" applyBorder="1" applyAlignment="1">
      <alignment vertical="center" shrinkToFit="1"/>
    </xf>
    <xf numFmtId="191" fontId="0" fillId="0" borderId="0" xfId="0" applyNumberFormat="1" applyFont="1" applyAlignment="1">
      <alignment vertical="center" shrinkToFit="1"/>
    </xf>
    <xf numFmtId="191" fontId="0" fillId="17" borderId="3" xfId="0" applyNumberFormat="1" applyFont="1" applyFill="1" applyBorder="1" applyAlignment="1">
      <alignment vertical="center" shrinkToFit="1"/>
    </xf>
    <xf numFmtId="191" fontId="0" fillId="0" borderId="0" xfId="0" applyNumberFormat="1" applyFont="1">
      <alignment vertical="center"/>
    </xf>
    <xf numFmtId="11" fontId="0" fillId="0" borderId="20" xfId="0" applyNumberFormat="1" applyFont="1" applyBorder="1" applyAlignment="1">
      <alignment vertical="center" shrinkToFit="1"/>
    </xf>
    <xf numFmtId="0" fontId="0" fillId="0" borderId="50" xfId="0" applyFont="1" applyBorder="1">
      <alignment vertical="center"/>
    </xf>
    <xf numFmtId="0" fontId="0" fillId="0" borderId="20" xfId="0" applyFont="1" applyBorder="1">
      <alignment vertical="center"/>
    </xf>
    <xf numFmtId="11" fontId="0" fillId="0" borderId="0" xfId="0" applyNumberFormat="1" applyFont="1" applyAlignment="1">
      <alignment vertical="center" shrinkToFit="1"/>
    </xf>
    <xf numFmtId="0" fontId="0" fillId="0" borderId="3" xfId="0" applyFont="1" applyBorder="1" applyAlignment="1">
      <alignment vertical="center" wrapText="1"/>
    </xf>
    <xf numFmtId="40" fontId="0" fillId="9" borderId="3" xfId="35" applyNumberFormat="1" applyFont="1" applyFill="1" applyBorder="1" applyAlignment="1">
      <alignment horizontal="right" vertical="center"/>
    </xf>
    <xf numFmtId="0" fontId="0" fillId="19" borderId="3" xfId="0" applyFill="1" applyBorder="1" applyAlignment="1">
      <alignment vertical="center" wrapText="1"/>
    </xf>
    <xf numFmtId="0" fontId="40" fillId="0" borderId="3" xfId="0" applyFont="1" applyBorder="1" applyAlignment="1">
      <alignment vertical="center" wrapText="1"/>
    </xf>
    <xf numFmtId="0" fontId="0" fillId="7" borderId="3" xfId="0" applyFont="1" applyFill="1" applyBorder="1" applyAlignment="1">
      <alignment horizontal="center" vertical="center" shrinkToFit="1"/>
    </xf>
    <xf numFmtId="38" fontId="0" fillId="0" borderId="3" xfId="0" applyNumberFormat="1" applyFont="1" applyBorder="1" applyAlignment="1">
      <alignment vertical="center" shrinkToFit="1"/>
    </xf>
    <xf numFmtId="189" fontId="0" fillId="0" borderId="3" xfId="35" applyNumberFormat="1" applyFont="1" applyBorder="1" applyAlignment="1">
      <alignment vertical="center" shrinkToFit="1"/>
    </xf>
    <xf numFmtId="0" fontId="0" fillId="0" borderId="3" xfId="0" applyFont="1" applyBorder="1" applyAlignment="1">
      <alignment horizontal="right" vertical="center" shrinkToFit="1"/>
    </xf>
    <xf numFmtId="0" fontId="0" fillId="0" borderId="50" xfId="0" applyFont="1" applyFill="1" applyBorder="1">
      <alignment vertical="center"/>
    </xf>
    <xf numFmtId="0" fontId="0" fillId="17" borderId="3" xfId="0" applyFont="1" applyFill="1" applyBorder="1" applyAlignment="1">
      <alignment vertical="center" wrapText="1"/>
    </xf>
    <xf numFmtId="14" fontId="0" fillId="17" borderId="3" xfId="0" applyNumberFormat="1" applyFont="1" applyFill="1" applyBorder="1" applyAlignment="1">
      <alignment horizontal="center" vertical="center"/>
    </xf>
    <xf numFmtId="11" fontId="0" fillId="0" borderId="0" xfId="35" applyNumberFormat="1" applyFont="1" applyBorder="1" applyAlignment="1">
      <alignment vertical="center" shrinkToFit="1"/>
    </xf>
    <xf numFmtId="0" fontId="40" fillId="2" borderId="21" xfId="0" applyFont="1" applyFill="1" applyBorder="1" applyAlignment="1">
      <alignment horizontal="center" vertical="center" shrinkToFit="1"/>
    </xf>
    <xf numFmtId="0" fontId="43" fillId="2" borderId="21" xfId="0" applyFont="1" applyFill="1" applyBorder="1" applyAlignment="1">
      <alignment horizontal="center" vertical="center" shrinkToFit="1"/>
    </xf>
    <xf numFmtId="191" fontId="40" fillId="2" borderId="21" xfId="0" applyNumberFormat="1" applyFont="1" applyFill="1" applyBorder="1" applyAlignment="1">
      <alignment horizontal="center" vertical="center" shrinkToFit="1"/>
    </xf>
    <xf numFmtId="0" fontId="40" fillId="2" borderId="21" xfId="0" applyFont="1" applyFill="1" applyBorder="1" applyAlignment="1">
      <alignment vertical="center" shrinkToFit="1"/>
    </xf>
    <xf numFmtId="0" fontId="40" fillId="2" borderId="12" xfId="0" applyFont="1" applyFill="1" applyBorder="1" applyAlignment="1">
      <alignment horizontal="center" vertical="center" shrinkToFit="1"/>
    </xf>
    <xf numFmtId="38" fontId="9" fillId="10" borderId="44" xfId="35" applyFont="1" applyFill="1" applyBorder="1" applyAlignment="1">
      <alignment vertical="center"/>
    </xf>
    <xf numFmtId="38" fontId="9" fillId="10" borderId="44" xfId="35" applyFont="1" applyFill="1" applyBorder="1" applyAlignment="1">
      <alignment horizontal="center" vertical="center"/>
    </xf>
    <xf numFmtId="189" fontId="0" fillId="9" borderId="3" xfId="35" applyNumberFormat="1" applyFont="1" applyFill="1" applyBorder="1" applyAlignment="1">
      <alignment horizontal="right" vertical="center"/>
    </xf>
    <xf numFmtId="38" fontId="0" fillId="17" borderId="3" xfId="35" applyFont="1" applyFill="1" applyBorder="1" applyAlignment="1">
      <alignment horizontal="left" vertical="center"/>
    </xf>
    <xf numFmtId="38" fontId="9" fillId="9" borderId="3" xfId="35" applyFont="1" applyFill="1" applyBorder="1" applyAlignment="1">
      <alignment horizontal="left" vertical="center" wrapText="1"/>
    </xf>
    <xf numFmtId="0" fontId="17" fillId="3" borderId="3" xfId="0" applyFont="1" applyFill="1" applyBorder="1" applyAlignment="1">
      <alignment horizontal="center" vertical="center" wrapText="1" shrinkToFit="1"/>
    </xf>
    <xf numFmtId="0" fontId="39" fillId="3" borderId="20" xfId="0" applyFont="1" applyFill="1" applyBorder="1" applyAlignment="1">
      <alignment horizontal="center" vertical="center" wrapText="1"/>
    </xf>
    <xf numFmtId="0" fontId="0" fillId="19" borderId="3" xfId="0" applyFill="1" applyBorder="1" applyAlignment="1">
      <alignment vertical="center"/>
    </xf>
    <xf numFmtId="0" fontId="0" fillId="19" borderId="3" xfId="0" applyFont="1" applyFill="1" applyBorder="1" applyAlignment="1">
      <alignment vertical="center"/>
    </xf>
    <xf numFmtId="196" fontId="0" fillId="9" borderId="3" xfId="35" applyNumberFormat="1" applyFont="1" applyFill="1" applyBorder="1" applyAlignment="1">
      <alignment horizontal="right" vertical="center"/>
    </xf>
    <xf numFmtId="0" fontId="0" fillId="0" borderId="0" xfId="0" applyAlignment="1">
      <alignment horizontal="center" vertical="center"/>
    </xf>
    <xf numFmtId="0" fontId="0" fillId="0" borderId="3" xfId="0" applyFill="1" applyBorder="1" applyAlignment="1">
      <alignment horizontal="left" vertical="center"/>
    </xf>
    <xf numFmtId="38" fontId="9" fillId="0" borderId="0" xfId="35" applyFont="1" applyFill="1" applyBorder="1" applyAlignment="1">
      <alignment vertical="center"/>
    </xf>
    <xf numFmtId="0" fontId="5" fillId="17" borderId="3" xfId="182" applyFont="1" applyFill="1" applyBorder="1" applyAlignment="1">
      <alignment vertical="center" wrapText="1"/>
    </xf>
    <xf numFmtId="38" fontId="0" fillId="10" borderId="44" xfId="35" applyFont="1" applyFill="1" applyBorder="1" applyAlignment="1">
      <alignment horizontal="center" vertical="center"/>
    </xf>
    <xf numFmtId="0" fontId="8" fillId="0" borderId="3" xfId="182" applyFill="1" applyBorder="1" applyAlignment="1">
      <alignment vertical="center" wrapText="1"/>
    </xf>
    <xf numFmtId="0" fontId="5" fillId="0" borderId="3" xfId="182" applyFont="1" applyFill="1" applyBorder="1" applyAlignment="1">
      <alignment horizontal="center" vertical="center" wrapText="1"/>
    </xf>
    <xf numFmtId="0" fontId="5" fillId="0" borderId="3" xfId="182" applyFont="1" applyFill="1" applyBorder="1" applyAlignment="1">
      <alignment vertical="center" wrapText="1"/>
    </xf>
    <xf numFmtId="14" fontId="0" fillId="0" borderId="3" xfId="0" applyNumberForma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14" fontId="0" fillId="17" borderId="3" xfId="0" applyNumberFormat="1" applyFill="1" applyBorder="1" applyAlignment="1">
      <alignment horizontal="center" vertical="center" wrapText="1"/>
    </xf>
    <xf numFmtId="0" fontId="0" fillId="0" borderId="50" xfId="0" applyFont="1" applyBorder="1" applyAlignment="1">
      <alignment horizontal="center" vertical="center" wrapText="1"/>
    </xf>
    <xf numFmtId="9" fontId="91" fillId="0" borderId="48" xfId="27" applyFont="1" applyBorder="1" applyAlignment="1">
      <alignment horizontal="center" vertical="center" wrapText="1"/>
    </xf>
    <xf numFmtId="0" fontId="91" fillId="0" borderId="48" xfId="0" applyFont="1" applyBorder="1" applyAlignment="1">
      <alignment horizontal="center" vertical="center" wrapText="1"/>
    </xf>
    <xf numFmtId="0" fontId="91" fillId="0" borderId="3" xfId="0" applyFont="1" applyBorder="1" applyAlignment="1">
      <alignment horizontal="center" vertical="center" wrapText="1"/>
    </xf>
    <xf numFmtId="0" fontId="0" fillId="17" borderId="3" xfId="0" applyFill="1" applyBorder="1" applyAlignment="1">
      <alignment vertical="center"/>
    </xf>
    <xf numFmtId="0" fontId="8" fillId="17" borderId="3" xfId="182" applyFill="1" applyBorder="1" applyAlignment="1">
      <alignment vertical="center"/>
    </xf>
    <xf numFmtId="0" fontId="0" fillId="20" borderId="3" xfId="0" applyFill="1" applyBorder="1" applyAlignment="1">
      <alignment vertical="center"/>
    </xf>
    <xf numFmtId="0" fontId="8" fillId="20" borderId="3" xfId="182" applyFill="1" applyBorder="1" applyAlignment="1">
      <alignment vertical="center" wrapText="1"/>
    </xf>
    <xf numFmtId="0" fontId="6" fillId="20" borderId="3" xfId="182" applyFont="1" applyFill="1" applyBorder="1" applyAlignment="1">
      <alignment horizontal="center" vertical="center"/>
    </xf>
    <xf numFmtId="0" fontId="88" fillId="20" borderId="3" xfId="182" applyFont="1" applyFill="1" applyBorder="1" applyAlignment="1">
      <alignment vertical="center" wrapText="1"/>
    </xf>
    <xf numFmtId="0" fontId="6" fillId="20" borderId="3" xfId="182" applyFont="1" applyFill="1" applyBorder="1" applyAlignment="1">
      <alignment vertical="center"/>
    </xf>
    <xf numFmtId="0" fontId="0" fillId="20" borderId="3" xfId="0" applyFont="1" applyFill="1" applyBorder="1" applyAlignment="1">
      <alignment vertical="center" wrapText="1"/>
    </xf>
    <xf numFmtId="0" fontId="0" fillId="20" borderId="3" xfId="0" applyFont="1" applyFill="1" applyBorder="1" applyAlignment="1">
      <alignment horizontal="center" vertical="center" wrapText="1"/>
    </xf>
    <xf numFmtId="0" fontId="0" fillId="17" borderId="3" xfId="0" applyFill="1" applyBorder="1" applyAlignment="1">
      <alignment horizontal="left" vertical="center" wrapText="1"/>
    </xf>
    <xf numFmtId="14" fontId="0" fillId="17" borderId="3" xfId="0" applyNumberFormat="1" applyFill="1" applyBorder="1" applyAlignment="1">
      <alignment horizontal="center" vertical="center"/>
    </xf>
    <xf numFmtId="0" fontId="0" fillId="0" borderId="0" xfId="0" applyFont="1" applyAlignment="1">
      <alignment horizontal="right" vertical="center"/>
    </xf>
    <xf numFmtId="0" fontId="40" fillId="0" borderId="3" xfId="0" applyFont="1" applyBorder="1" applyAlignment="1">
      <alignment horizontal="center" vertical="center" wrapText="1"/>
    </xf>
    <xf numFmtId="0" fontId="40" fillId="0" borderId="47" xfId="0" applyFont="1" applyBorder="1" applyAlignment="1">
      <alignment horizontal="left" vertical="center" wrapText="1"/>
    </xf>
    <xf numFmtId="191" fontId="40" fillId="0" borderId="38" xfId="0" applyNumberFormat="1" applyFont="1" applyBorder="1" applyAlignment="1">
      <alignment horizontal="center" vertical="center" wrapText="1"/>
    </xf>
    <xf numFmtId="0" fontId="0" fillId="21" borderId="3" xfId="0" applyFill="1" applyBorder="1" applyAlignment="1">
      <alignment vertical="center"/>
    </xf>
    <xf numFmtId="0" fontId="0" fillId="21" borderId="3" xfId="0" applyFill="1" applyBorder="1" applyAlignment="1">
      <alignment vertical="center" wrapText="1"/>
    </xf>
    <xf numFmtId="14" fontId="0" fillId="21" borderId="3" xfId="0" applyNumberFormat="1" applyFill="1" applyBorder="1" applyAlignment="1">
      <alignment horizontal="center" vertical="center" wrapText="1"/>
    </xf>
    <xf numFmtId="0" fontId="7" fillId="21" borderId="3" xfId="182" applyFont="1" applyFill="1" applyBorder="1" applyAlignment="1">
      <alignment vertical="center" wrapText="1"/>
    </xf>
    <xf numFmtId="0" fontId="0" fillId="21" borderId="3" xfId="0" applyFill="1" applyBorder="1" applyAlignment="1">
      <alignment horizontal="left" vertical="center" wrapText="1"/>
    </xf>
    <xf numFmtId="0" fontId="5" fillId="21" borderId="3" xfId="182" applyFont="1" applyFill="1" applyBorder="1" applyAlignment="1">
      <alignment vertical="center" wrapText="1"/>
    </xf>
    <xf numFmtId="191" fontId="91" fillId="0" borderId="48" xfId="0" applyNumberFormat="1" applyFont="1" applyBorder="1" applyAlignment="1">
      <alignment horizontal="center" vertical="center" wrapText="1"/>
    </xf>
    <xf numFmtId="191" fontId="91" fillId="0" borderId="48" xfId="35" applyNumberFormat="1" applyFont="1" applyBorder="1" applyAlignment="1">
      <alignment horizontal="center" vertical="center" wrapText="1"/>
    </xf>
    <xf numFmtId="191" fontId="91" fillId="0" borderId="20" xfId="35" applyNumberFormat="1" applyFont="1" applyBorder="1" applyAlignment="1">
      <alignment horizontal="center" vertical="center" wrapText="1"/>
    </xf>
    <xf numFmtId="191" fontId="91" fillId="0" borderId="20" xfId="0" applyNumberFormat="1" applyFont="1" applyBorder="1" applyAlignment="1">
      <alignment horizontal="center" vertical="center" wrapText="1"/>
    </xf>
    <xf numFmtId="191" fontId="91" fillId="0" borderId="48" xfId="0" applyNumberFormat="1" applyFont="1" applyFill="1" applyBorder="1" applyAlignment="1">
      <alignment horizontal="center" vertical="center" wrapText="1"/>
    </xf>
    <xf numFmtId="191" fontId="91" fillId="0" borderId="50" xfId="0" applyNumberFormat="1" applyFont="1" applyBorder="1" applyAlignment="1">
      <alignment horizontal="right" vertical="center" wrapText="1"/>
    </xf>
    <xf numFmtId="191" fontId="91" fillId="0" borderId="3" xfId="0" applyNumberFormat="1" applyFont="1" applyFill="1" applyBorder="1" applyAlignment="1">
      <alignment horizontal="right" vertical="center" wrapText="1"/>
    </xf>
    <xf numFmtId="191" fontId="91" fillId="0" borderId="3" xfId="0" applyNumberFormat="1" applyFont="1" applyBorder="1" applyAlignment="1">
      <alignment horizontal="right" vertical="center" wrapText="1"/>
    </xf>
    <xf numFmtId="191" fontId="91" fillId="0" borderId="48" xfId="0" applyNumberFormat="1" applyFont="1" applyBorder="1" applyAlignment="1">
      <alignment horizontal="right" vertical="center" wrapText="1"/>
    </xf>
    <xf numFmtId="191" fontId="91" fillId="0" borderId="38" xfId="0" applyNumberFormat="1" applyFont="1" applyBorder="1" applyAlignment="1">
      <alignment horizontal="right" vertical="center" wrapText="1"/>
    </xf>
    <xf numFmtId="191" fontId="91" fillId="0" borderId="3" xfId="0" applyNumberFormat="1" applyFont="1" applyBorder="1" applyAlignment="1">
      <alignment horizontal="center" vertical="center" wrapText="1"/>
    </xf>
    <xf numFmtId="11" fontId="91" fillId="0" borderId="3" xfId="35" applyNumberFormat="1" applyFont="1" applyBorder="1" applyAlignment="1">
      <alignment horizontal="center" vertical="center" wrapText="1"/>
    </xf>
    <xf numFmtId="191" fontId="91" fillId="0" borderId="3" xfId="0" applyNumberFormat="1" applyFont="1" applyFill="1" applyBorder="1" applyAlignment="1">
      <alignment horizontal="center" vertical="center" wrapText="1"/>
    </xf>
    <xf numFmtId="191" fontId="91" fillId="0" borderId="48" xfId="27" applyNumberFormat="1" applyFont="1" applyBorder="1" applyAlignment="1">
      <alignment horizontal="center" vertical="center" wrapText="1"/>
    </xf>
    <xf numFmtId="191" fontId="91" fillId="0" borderId="48" xfId="35" applyNumberFormat="1" applyFont="1" applyFill="1" applyBorder="1" applyAlignment="1">
      <alignment horizontal="center" vertical="center" wrapText="1"/>
    </xf>
    <xf numFmtId="0" fontId="0" fillId="20" borderId="3" xfId="0" applyFill="1" applyBorder="1" applyAlignment="1">
      <alignment vertical="center" wrapText="1"/>
    </xf>
    <xf numFmtId="38" fontId="9" fillId="9" borderId="3" xfId="35" applyFont="1" applyFill="1" applyBorder="1" applyAlignment="1">
      <alignment vertical="center"/>
    </xf>
    <xf numFmtId="0" fontId="40" fillId="0" borderId="26" xfId="0" applyFont="1" applyBorder="1" applyAlignment="1">
      <alignment horizontal="center" vertical="center" wrapText="1"/>
    </xf>
    <xf numFmtId="0" fontId="40" fillId="0" borderId="46" xfId="0" applyFont="1" applyBorder="1" applyAlignment="1">
      <alignment horizontal="center" vertical="center" wrapText="1"/>
    </xf>
    <xf numFmtId="0" fontId="0" fillId="13" borderId="3" xfId="0" applyFill="1" applyBorder="1" applyAlignment="1">
      <alignment horizontal="center" vertical="center"/>
    </xf>
    <xf numFmtId="0" fontId="0" fillId="13" borderId="3" xfId="0" applyFill="1" applyBorder="1" applyAlignment="1">
      <alignment vertical="center" wrapText="1"/>
    </xf>
    <xf numFmtId="0" fontId="0" fillId="9" borderId="46" xfId="0" applyFont="1" applyFill="1" applyBorder="1" applyAlignment="1">
      <alignment horizontal="center" vertical="center"/>
    </xf>
    <xf numFmtId="0" fontId="0" fillId="9" borderId="46" xfId="0" applyFill="1" applyBorder="1" applyAlignment="1">
      <alignment horizontal="center" vertical="center"/>
    </xf>
    <xf numFmtId="38" fontId="9" fillId="9" borderId="44" xfId="35" applyFont="1" applyFill="1" applyBorder="1" applyAlignment="1">
      <alignment vertical="center"/>
    </xf>
    <xf numFmtId="38" fontId="9" fillId="9" borderId="2" xfId="35" applyFont="1" applyFill="1" applyBorder="1" applyAlignment="1">
      <alignment vertical="center"/>
    </xf>
    <xf numFmtId="38" fontId="9" fillId="9" borderId="46" xfId="35" applyFont="1" applyFill="1" applyBorder="1" applyAlignment="1">
      <alignment vertical="center"/>
    </xf>
    <xf numFmtId="0" fontId="91" fillId="0" borderId="20" xfId="0" applyFont="1" applyBorder="1" applyAlignment="1">
      <alignment vertical="center" wrapText="1"/>
    </xf>
    <xf numFmtId="0" fontId="4" fillId="17" borderId="3" xfId="182" applyFont="1" applyFill="1" applyBorder="1" applyAlignment="1">
      <alignment vertical="center" wrapText="1"/>
    </xf>
    <xf numFmtId="14" fontId="6" fillId="17" borderId="3" xfId="182" applyNumberFormat="1" applyFont="1" applyFill="1" applyBorder="1" applyAlignment="1">
      <alignment horizontal="center" vertical="center"/>
    </xf>
    <xf numFmtId="0" fontId="40" fillId="12" borderId="44" xfId="0" applyFont="1" applyFill="1" applyBorder="1" applyAlignment="1">
      <alignment vertical="center" wrapText="1"/>
    </xf>
    <xf numFmtId="0" fontId="40" fillId="12" borderId="2" xfId="0" applyFont="1" applyFill="1" applyBorder="1" applyAlignment="1">
      <alignment vertical="center" wrapText="1"/>
    </xf>
    <xf numFmtId="0" fontId="40" fillId="12" borderId="65" xfId="0" applyFont="1" applyFill="1" applyBorder="1" applyAlignment="1">
      <alignment vertical="center" wrapText="1"/>
    </xf>
    <xf numFmtId="0" fontId="40" fillId="12" borderId="39" xfId="0" applyFont="1" applyFill="1" applyBorder="1" applyAlignment="1">
      <alignment vertical="center" wrapText="1"/>
    </xf>
    <xf numFmtId="0" fontId="40" fillId="12" borderId="39" xfId="0" applyFont="1" applyFill="1" applyBorder="1" applyAlignment="1">
      <alignment vertical="center"/>
    </xf>
    <xf numFmtId="0" fontId="0" fillId="9" borderId="3" xfId="0" applyFont="1" applyFill="1" applyBorder="1" applyAlignment="1">
      <alignment vertical="center"/>
    </xf>
    <xf numFmtId="191" fontId="91" fillId="13" borderId="48" xfId="0" applyNumberFormat="1" applyFont="1" applyFill="1" applyBorder="1" applyAlignment="1">
      <alignment horizontal="center" vertical="center" wrapText="1"/>
    </xf>
    <xf numFmtId="0" fontId="91" fillId="13" borderId="48" xfId="0" applyFont="1" applyFill="1" applyBorder="1" applyAlignment="1">
      <alignment horizontal="center" vertical="center" wrapText="1"/>
    </xf>
    <xf numFmtId="0" fontId="40" fillId="13" borderId="48" xfId="0" applyFont="1" applyFill="1" applyBorder="1" applyAlignment="1">
      <alignment horizontal="center" vertical="center" wrapText="1"/>
    </xf>
    <xf numFmtId="0" fontId="40" fillId="13" borderId="20" xfId="0" applyFont="1" applyFill="1" applyBorder="1" applyAlignment="1">
      <alignment vertical="center" wrapText="1"/>
    </xf>
    <xf numFmtId="0" fontId="40" fillId="0" borderId="52" xfId="97" applyFont="1" applyFill="1" applyBorder="1" applyAlignment="1">
      <alignment vertical="center" wrapText="1"/>
    </xf>
    <xf numFmtId="0" fontId="40" fillId="0" borderId="17" xfId="97" applyFont="1" applyFill="1" applyBorder="1" applyAlignment="1">
      <alignment vertical="center" wrapText="1"/>
    </xf>
    <xf numFmtId="0" fontId="83" fillId="0" borderId="0" xfId="0" applyFont="1" applyBorder="1" applyAlignment="1">
      <alignment horizontal="center" vertical="center" readingOrder="1"/>
    </xf>
    <xf numFmtId="0" fontId="40" fillId="0" borderId="53" xfId="97" applyFont="1" applyFill="1" applyBorder="1" applyAlignment="1">
      <alignment vertical="center" wrapText="1"/>
    </xf>
    <xf numFmtId="0" fontId="40" fillId="0" borderId="29" xfId="97" applyFont="1" applyFill="1" applyBorder="1" applyAlignment="1">
      <alignment vertical="center" wrapText="1"/>
    </xf>
    <xf numFmtId="38" fontId="11" fillId="0" borderId="53" xfId="53" applyNumberFormat="1" applyFont="1" applyBorder="1" applyAlignment="1">
      <alignment vertical="center" wrapText="1"/>
    </xf>
    <xf numFmtId="0" fontId="0" fillId="0" borderId="3" xfId="0" applyFill="1" applyBorder="1" applyAlignment="1">
      <alignment horizontal="center" vertical="center"/>
    </xf>
    <xf numFmtId="0" fontId="0" fillId="17" borderId="3" xfId="0" applyFill="1" applyBorder="1" applyAlignment="1">
      <alignment horizontal="center" vertical="center"/>
    </xf>
    <xf numFmtId="49" fontId="72" fillId="0" borderId="28" xfId="0" applyNumberFormat="1" applyFont="1" applyBorder="1" applyAlignment="1">
      <alignment horizontal="center" vertical="center" wrapText="1"/>
    </xf>
    <xf numFmtId="0" fontId="0" fillId="0" borderId="3" xfId="0" applyFont="1" applyFill="1" applyBorder="1" applyAlignment="1">
      <alignment horizontal="center" vertical="center"/>
    </xf>
    <xf numFmtId="0" fontId="0" fillId="21" borderId="3" xfId="0" applyFill="1" applyBorder="1" applyAlignment="1">
      <alignment horizontal="center" vertical="center"/>
    </xf>
    <xf numFmtId="0" fontId="0" fillId="20" borderId="3" xfId="0" applyFont="1" applyFill="1" applyBorder="1" applyAlignment="1">
      <alignment horizontal="center" vertical="center"/>
    </xf>
    <xf numFmtId="0" fontId="0" fillId="20" borderId="3" xfId="0" applyFill="1" applyBorder="1" applyAlignment="1">
      <alignment horizontal="center" vertical="center"/>
    </xf>
    <xf numFmtId="0" fontId="0" fillId="17" borderId="3" xfId="0" applyFill="1" applyBorder="1" applyAlignment="1">
      <alignment horizontal="center" vertical="center" wrapText="1"/>
    </xf>
    <xf numFmtId="0" fontId="0" fillId="17" borderId="3" xfId="0" applyFont="1" applyFill="1" applyBorder="1" applyAlignment="1">
      <alignment horizontal="center" vertical="center"/>
    </xf>
    <xf numFmtId="11" fontId="91" fillId="0" borderId="3" xfId="35" applyNumberFormat="1" applyFont="1" applyFill="1" applyBorder="1" applyAlignment="1">
      <alignment horizontal="center" vertical="center" wrapText="1"/>
    </xf>
    <xf numFmtId="11" fontId="91" fillId="0" borderId="3" xfId="0" applyNumberFormat="1" applyFont="1" applyFill="1" applyBorder="1" applyAlignment="1">
      <alignment horizontal="center" vertical="center" wrapText="1"/>
    </xf>
    <xf numFmtId="0" fontId="0" fillId="12" borderId="3" xfId="0" applyFill="1" applyBorder="1" applyAlignment="1">
      <alignment horizontal="center" vertical="center"/>
    </xf>
    <xf numFmtId="0" fontId="0" fillId="12" borderId="3" xfId="0" applyFill="1" applyBorder="1" applyAlignment="1">
      <alignment vertical="center" wrapText="1"/>
    </xf>
    <xf numFmtId="0" fontId="3" fillId="12" borderId="3" xfId="182" applyFont="1" applyFill="1" applyBorder="1" applyAlignment="1">
      <alignment vertical="center" wrapText="1"/>
    </xf>
    <xf numFmtId="14" fontId="6" fillId="12" borderId="3" xfId="182" applyNumberFormat="1" applyFont="1" applyFill="1" applyBorder="1" applyAlignment="1">
      <alignment horizontal="center" vertical="center"/>
    </xf>
    <xf numFmtId="0" fontId="0" fillId="12" borderId="3" xfId="0" applyFill="1" applyBorder="1" applyAlignment="1">
      <alignment horizontal="center" vertical="center" wrapText="1"/>
    </xf>
    <xf numFmtId="0" fontId="2" fillId="12" borderId="3" xfId="182" applyFont="1" applyFill="1" applyBorder="1" applyAlignment="1">
      <alignment vertical="center" wrapText="1"/>
    </xf>
    <xf numFmtId="14" fontId="0" fillId="12" borderId="3" xfId="0" applyNumberFormat="1" applyFill="1" applyBorder="1" applyAlignment="1">
      <alignment horizontal="center" vertical="center" wrapText="1"/>
    </xf>
    <xf numFmtId="0" fontId="0" fillId="12" borderId="3" xfId="0" applyFill="1" applyBorder="1" applyAlignment="1">
      <alignment horizontal="left" vertical="center" wrapText="1"/>
    </xf>
    <xf numFmtId="49" fontId="72" fillId="0" borderId="79" xfId="0" applyNumberFormat="1" applyFont="1" applyBorder="1" applyAlignment="1">
      <alignment horizontal="center" vertical="center" wrapText="1"/>
    </xf>
    <xf numFmtId="0" fontId="72" fillId="0" borderId="17" xfId="0" applyFont="1" applyFill="1" applyBorder="1" applyAlignment="1">
      <alignment horizontal="justify" vertical="center" wrapText="1"/>
    </xf>
    <xf numFmtId="38" fontId="0" fillId="9" borderId="3" xfId="35" applyFont="1" applyFill="1" applyBorder="1" applyAlignment="1">
      <alignment horizontal="left" vertical="center"/>
    </xf>
    <xf numFmtId="0" fontId="40" fillId="0" borderId="0" xfId="0" applyFont="1">
      <alignment vertical="center"/>
    </xf>
    <xf numFmtId="40" fontId="0" fillId="0" borderId="0" xfId="0" applyNumberFormat="1" applyAlignment="1">
      <alignment vertical="center"/>
    </xf>
    <xf numFmtId="49" fontId="72" fillId="0" borderId="0" xfId="0" applyNumberFormat="1" applyFont="1" applyBorder="1" applyAlignment="1">
      <alignment horizontal="center" vertical="center" wrapText="1"/>
    </xf>
    <xf numFmtId="0" fontId="72" fillId="0" borderId="0" xfId="0" applyFont="1" applyBorder="1" applyAlignment="1">
      <alignment horizontal="justify" vertical="center" wrapText="1"/>
    </xf>
    <xf numFmtId="0" fontId="72" fillId="0" borderId="0" xfId="0" applyFont="1" applyBorder="1" applyAlignment="1">
      <alignment horizontal="center" vertical="center" wrapText="1"/>
    </xf>
    <xf numFmtId="191" fontId="43" fillId="0" borderId="0" xfId="0" applyNumberFormat="1" applyFont="1">
      <alignment vertical="center"/>
    </xf>
    <xf numFmtId="9" fontId="43" fillId="0" borderId="0" xfId="27" applyFont="1">
      <alignment vertical="center"/>
    </xf>
    <xf numFmtId="38" fontId="43" fillId="0" borderId="0" xfId="35" applyFont="1">
      <alignment vertical="center"/>
    </xf>
    <xf numFmtId="189" fontId="43" fillId="0" borderId="0" xfId="35" applyNumberFormat="1" applyFont="1">
      <alignment vertical="center"/>
    </xf>
    <xf numFmtId="189" fontId="43" fillId="0" borderId="0" xfId="35" applyNumberFormat="1" applyFont="1" applyAlignment="1">
      <alignment horizontal="center" vertical="center"/>
    </xf>
    <xf numFmtId="197" fontId="43" fillId="0" borderId="0" xfId="0" applyNumberFormat="1" applyFont="1">
      <alignment vertical="center"/>
    </xf>
    <xf numFmtId="189" fontId="40" fillId="0" borderId="0" xfId="35" applyNumberFormat="1" applyFont="1" applyAlignment="1">
      <alignment horizontal="center" vertical="center"/>
    </xf>
    <xf numFmtId="11" fontId="40" fillId="0" borderId="0" xfId="0" applyNumberFormat="1" applyFont="1">
      <alignment vertical="center"/>
    </xf>
    <xf numFmtId="9" fontId="40" fillId="0" borderId="0" xfId="27" applyFont="1" applyAlignment="1">
      <alignment horizontal="center" vertical="center"/>
    </xf>
    <xf numFmtId="11" fontId="40" fillId="2" borderId="0" xfId="35" applyNumberFormat="1"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1" fontId="40" fillId="0" borderId="0" xfId="35" applyNumberFormat="1" applyFont="1" applyFill="1" applyBorder="1" applyAlignment="1">
      <alignment horizontal="left" vertical="center" wrapText="1" shrinkToFit="1"/>
    </xf>
    <xf numFmtId="38" fontId="40" fillId="0" borderId="0" xfId="0" applyNumberFormat="1" applyFont="1" applyBorder="1" applyAlignment="1">
      <alignment horizontal="left" vertical="center" wrapText="1"/>
    </xf>
    <xf numFmtId="0" fontId="40" fillId="0" borderId="0" xfId="0" applyFont="1" applyBorder="1" applyAlignment="1">
      <alignment horizontal="left" vertical="center" wrapText="1"/>
    </xf>
    <xf numFmtId="0" fontId="40" fillId="0" borderId="0" xfId="0" applyFont="1" applyBorder="1" applyAlignment="1">
      <alignment vertical="center" wrapText="1"/>
    </xf>
    <xf numFmtId="38" fontId="40" fillId="0" borderId="0" xfId="0" applyNumberFormat="1" applyFont="1" applyBorder="1" applyAlignment="1">
      <alignment vertical="center" wrapText="1"/>
    </xf>
    <xf numFmtId="0" fontId="40" fillId="0" borderId="0" xfId="0" applyFont="1" applyFill="1" applyBorder="1" applyAlignment="1">
      <alignment vertical="center" wrapText="1"/>
    </xf>
    <xf numFmtId="0" fontId="40" fillId="12" borderId="0" xfId="0" applyFont="1" applyFill="1" applyBorder="1" applyAlignment="1">
      <alignment horizontal="left" vertical="center" wrapText="1"/>
    </xf>
    <xf numFmtId="191" fontId="40" fillId="0" borderId="0" xfId="0" applyNumberFormat="1" applyFont="1" applyBorder="1" applyAlignment="1">
      <alignment vertical="center" wrapText="1"/>
    </xf>
    <xf numFmtId="0" fontId="40" fillId="12" borderId="0" xfId="0" applyFont="1" applyFill="1" applyBorder="1" applyAlignment="1">
      <alignment vertical="center" wrapText="1"/>
    </xf>
    <xf numFmtId="0" fontId="40" fillId="0" borderId="0" xfId="0" applyFont="1" applyBorder="1" applyAlignment="1">
      <alignment horizontal="center" vertical="center" wrapText="1"/>
    </xf>
    <xf numFmtId="9" fontId="43" fillId="0" borderId="0" xfId="27" applyFont="1" applyAlignment="1">
      <alignment horizontal="left" vertical="center"/>
    </xf>
    <xf numFmtId="0" fontId="71" fillId="0" borderId="74" xfId="0" applyFont="1" applyBorder="1" applyAlignment="1">
      <alignment horizontal="center" vertical="center"/>
    </xf>
    <xf numFmtId="0" fontId="71" fillId="0" borderId="75" xfId="0" applyFont="1" applyBorder="1" applyAlignment="1">
      <alignment horizontal="center" vertical="center"/>
    </xf>
    <xf numFmtId="0" fontId="72" fillId="0" borderId="62" xfId="0" applyFont="1" applyBorder="1" applyAlignment="1">
      <alignment horizontal="justify" vertical="center" wrapText="1"/>
    </xf>
    <xf numFmtId="0" fontId="72" fillId="0" borderId="39" xfId="0" applyFont="1" applyBorder="1" applyAlignment="1">
      <alignment horizontal="justify" vertical="center" wrapText="1"/>
    </xf>
    <xf numFmtId="0" fontId="72" fillId="0" borderId="59" xfId="0" applyFont="1" applyBorder="1" applyAlignment="1">
      <alignment horizontal="justify" vertical="center" wrapText="1"/>
    </xf>
    <xf numFmtId="0" fontId="71" fillId="0" borderId="15" xfId="0" applyFont="1" applyBorder="1" applyAlignment="1">
      <alignment horizontal="center" vertical="center"/>
    </xf>
    <xf numFmtId="38" fontId="0" fillId="0" borderId="44" xfId="35" applyFont="1" applyBorder="1" applyAlignment="1" applyProtection="1">
      <alignment vertical="center"/>
      <protection locked="0"/>
    </xf>
    <xf numFmtId="38" fontId="0" fillId="0" borderId="2" xfId="35" applyFont="1" applyBorder="1" applyAlignment="1" applyProtection="1">
      <alignment vertical="center"/>
      <protection locked="0"/>
    </xf>
    <xf numFmtId="0" fontId="0" fillId="0" borderId="2" xfId="0" applyBorder="1" applyAlignment="1" applyProtection="1">
      <alignment vertical="center"/>
      <protection locked="0"/>
    </xf>
    <xf numFmtId="38" fontId="0" fillId="0" borderId="46" xfId="35" applyFont="1" applyBorder="1" applyAlignment="1" applyProtection="1">
      <alignment vertical="center"/>
      <protection locked="0"/>
    </xf>
    <xf numFmtId="0" fontId="0" fillId="0" borderId="46" xfId="0" applyBorder="1" applyAlignment="1" applyProtection="1">
      <alignment vertical="center"/>
      <protection locked="0"/>
    </xf>
    <xf numFmtId="38" fontId="0" fillId="17" borderId="3" xfId="35" applyFont="1" applyFill="1" applyBorder="1" applyAlignment="1" applyProtection="1">
      <alignment horizontal="left" vertical="center"/>
      <protection locked="0"/>
    </xf>
    <xf numFmtId="0" fontId="0" fillId="0" borderId="3" xfId="0" applyBorder="1" applyAlignment="1" applyProtection="1">
      <alignment horizontal="center" vertical="center"/>
      <protection locked="0"/>
    </xf>
    <xf numFmtId="38" fontId="9" fillId="17" borderId="3" xfId="35" applyFont="1" applyFill="1" applyBorder="1" applyAlignment="1" applyProtection="1">
      <alignment horizontal="right" vertical="center"/>
      <protection locked="0"/>
    </xf>
    <xf numFmtId="0" fontId="0" fillId="0" borderId="3" xfId="0" applyBorder="1" applyAlignment="1" applyProtection="1">
      <alignment horizontal="right" vertical="center"/>
      <protection locked="0"/>
    </xf>
    <xf numFmtId="38" fontId="0" fillId="0" borderId="3" xfId="35" applyFont="1" applyBorder="1" applyAlignment="1" applyProtection="1">
      <alignment horizontal="right" vertical="center"/>
      <protection locked="0"/>
    </xf>
    <xf numFmtId="38" fontId="9" fillId="0" borderId="3" xfId="35" applyFont="1" applyFill="1" applyBorder="1" applyAlignment="1" applyProtection="1">
      <alignment horizontal="right" vertical="center"/>
      <protection locked="0"/>
    </xf>
    <xf numFmtId="192" fontId="0" fillId="0" borderId="3" xfId="0" applyNumberFormat="1" applyFont="1" applyFill="1" applyBorder="1" applyAlignment="1" applyProtection="1">
      <alignment horizontal="right" vertical="center"/>
      <protection locked="0"/>
    </xf>
    <xf numFmtId="0" fontId="9" fillId="17" borderId="3" xfId="0" applyFont="1" applyFill="1" applyBorder="1" applyAlignment="1" applyProtection="1">
      <alignment horizontal="right" vertical="center"/>
      <protection locked="0"/>
    </xf>
    <xf numFmtId="40" fontId="9" fillId="17" borderId="3" xfId="35" applyNumberFormat="1" applyFont="1" applyFill="1" applyBorder="1" applyAlignment="1" applyProtection="1">
      <alignment horizontal="center" vertical="center"/>
      <protection locked="0"/>
    </xf>
    <xf numFmtId="38" fontId="0" fillId="0" borderId="3" xfId="35" applyFont="1" applyFill="1" applyBorder="1" applyAlignment="1" applyProtection="1">
      <alignment horizontal="right" vertical="center"/>
      <protection locked="0"/>
    </xf>
    <xf numFmtId="40" fontId="0" fillId="0" borderId="3" xfId="35" applyNumberFormat="1" applyFont="1" applyBorder="1" applyAlignment="1" applyProtection="1">
      <alignment horizontal="right" vertical="center"/>
      <protection locked="0"/>
    </xf>
    <xf numFmtId="38" fontId="0" fillId="17" borderId="3" xfId="35" applyFont="1" applyFill="1" applyBorder="1" applyAlignment="1" applyProtection="1">
      <alignment horizontal="center" vertical="center"/>
      <protection locked="0"/>
    </xf>
    <xf numFmtId="0" fontId="0" fillId="9" borderId="3" xfId="35" applyNumberFormat="1" applyFont="1" applyFill="1" applyBorder="1" applyAlignment="1" applyProtection="1">
      <alignment horizontal="right" vertical="center"/>
      <protection locked="0"/>
    </xf>
    <xf numFmtId="38" fontId="0" fillId="9" borderId="3" xfId="35" applyFont="1" applyFill="1" applyBorder="1" applyAlignment="1" applyProtection="1">
      <alignment horizontal="right" vertical="center"/>
      <protection locked="0"/>
    </xf>
    <xf numFmtId="189" fontId="0" fillId="0" borderId="3" xfId="35" applyNumberFormat="1" applyFont="1" applyBorder="1" applyAlignment="1" applyProtection="1">
      <alignment horizontal="right" vertical="center"/>
      <protection locked="0"/>
    </xf>
    <xf numFmtId="189" fontId="9" fillId="17" borderId="3" xfId="35" applyNumberFormat="1" applyFont="1" applyFill="1" applyBorder="1" applyAlignment="1" applyProtection="1">
      <alignment horizontal="center" vertical="center" wrapText="1" shrinkToFit="1"/>
      <protection locked="0"/>
    </xf>
    <xf numFmtId="0" fontId="0" fillId="17" borderId="3" xfId="0" applyFill="1" applyBorder="1" applyAlignment="1" applyProtection="1">
      <alignment horizontal="right" vertical="center"/>
      <protection locked="0"/>
    </xf>
    <xf numFmtId="38" fontId="87" fillId="9" borderId="3" xfId="35" applyFont="1" applyFill="1" applyBorder="1" applyAlignment="1" applyProtection="1">
      <alignment horizontal="right" vertical="center"/>
      <protection locked="0"/>
    </xf>
    <xf numFmtId="0" fontId="0" fillId="17" borderId="3" xfId="0" applyFont="1" applyFill="1" applyBorder="1" applyAlignment="1" applyProtection="1">
      <alignment horizontal="right" vertical="center"/>
      <protection locked="0"/>
    </xf>
    <xf numFmtId="38" fontId="0" fillId="17" borderId="3" xfId="35" applyFont="1" applyFill="1" applyBorder="1" applyAlignment="1" applyProtection="1">
      <alignment horizontal="right" vertical="center"/>
      <protection locked="0"/>
    </xf>
    <xf numFmtId="38" fontId="9" fillId="13" borderId="3" xfId="35" applyFont="1" applyFill="1" applyBorder="1" applyAlignment="1" applyProtection="1">
      <alignment horizontal="right" vertical="center"/>
      <protection locked="0"/>
    </xf>
    <xf numFmtId="9" fontId="9" fillId="13" borderId="3" xfId="27" applyFont="1" applyFill="1" applyBorder="1" applyAlignment="1" applyProtection="1">
      <alignment horizontal="right" vertical="center"/>
      <protection locked="0"/>
    </xf>
    <xf numFmtId="0" fontId="13" fillId="0" borderId="33" xfId="53" applyFont="1" applyBorder="1" applyAlignment="1" applyProtection="1">
      <alignment vertical="center"/>
      <protection locked="0"/>
    </xf>
    <xf numFmtId="0" fontId="13" fillId="0" borderId="32" xfId="53" applyFont="1" applyBorder="1" applyAlignment="1" applyProtection="1">
      <alignment vertical="center"/>
      <protection locked="0"/>
    </xf>
    <xf numFmtId="0" fontId="40" fillId="0" borderId="48" xfId="0" applyFont="1" applyFill="1" applyBorder="1" applyAlignment="1">
      <alignment horizontal="center" vertical="center" wrapText="1"/>
    </xf>
    <xf numFmtId="9" fontId="40" fillId="0" borderId="48" xfId="27" applyFont="1" applyFill="1" applyBorder="1" applyAlignment="1">
      <alignment horizontal="center" vertical="center" wrapText="1"/>
    </xf>
    <xf numFmtId="38" fontId="43" fillId="0" borderId="0" xfId="0" applyNumberFormat="1" applyFont="1">
      <alignment vertical="center"/>
    </xf>
    <xf numFmtId="0" fontId="0" fillId="0" borderId="38" xfId="0" applyFont="1" applyBorder="1" applyAlignment="1">
      <alignment horizontal="left" vertical="center" shrinkToFit="1"/>
    </xf>
    <xf numFmtId="0" fontId="0" fillId="9" borderId="46" xfId="0" applyFill="1" applyBorder="1" applyAlignment="1" applyProtection="1">
      <alignment horizontal="center" vertical="center"/>
    </xf>
    <xf numFmtId="0" fontId="0" fillId="9" borderId="3" xfId="0" applyFill="1" applyBorder="1" applyAlignment="1" applyProtection="1">
      <alignment vertical="center"/>
    </xf>
    <xf numFmtId="0" fontId="0" fillId="9" borderId="3" xfId="0" applyFill="1" applyBorder="1" applyAlignment="1" applyProtection="1">
      <alignment horizontal="right" vertical="center"/>
    </xf>
    <xf numFmtId="189" fontId="9" fillId="9" borderId="3" xfId="35" applyNumberFormat="1" applyFont="1" applyFill="1" applyBorder="1" applyAlignment="1" applyProtection="1">
      <alignment horizontal="right" vertical="center"/>
    </xf>
    <xf numFmtId="1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0" fontId="0" fillId="9" borderId="3" xfId="35" applyNumberFormat="1" applyFont="1" applyFill="1" applyBorder="1" applyAlignment="1" applyProtection="1">
      <alignment horizontal="right" vertical="center" wrapText="1"/>
      <protection locked="0"/>
    </xf>
    <xf numFmtId="0" fontId="92" fillId="0" borderId="3" xfId="0" applyFont="1" applyBorder="1" applyAlignment="1">
      <alignment horizontal="center" vertical="center" wrapText="1"/>
    </xf>
    <xf numFmtId="0" fontId="71" fillId="0" borderId="3" xfId="0" applyFont="1" applyBorder="1" applyAlignment="1">
      <alignment vertical="center" shrinkToFit="1"/>
    </xf>
    <xf numFmtId="0" fontId="72" fillId="0" borderId="3" xfId="0" applyFont="1" applyBorder="1" applyAlignment="1">
      <alignment horizontal="justify" vertical="center" wrapText="1"/>
    </xf>
    <xf numFmtId="0" fontId="72" fillId="0" borderId="3" xfId="0" applyFont="1" applyBorder="1" applyAlignment="1">
      <alignment horizontal="right" vertical="center" wrapText="1"/>
    </xf>
    <xf numFmtId="0" fontId="92" fillId="0" borderId="3" xfId="0" applyFont="1" applyBorder="1" applyAlignment="1">
      <alignment horizontal="right" vertical="center" wrapText="1"/>
    </xf>
    <xf numFmtId="14" fontId="0" fillId="13" borderId="3" xfId="0" applyNumberFormat="1" applyFill="1" applyBorder="1" applyAlignment="1">
      <alignment horizontal="center" vertical="center"/>
    </xf>
    <xf numFmtId="49" fontId="0" fillId="0" borderId="0" xfId="0" applyNumberFormat="1" applyFont="1" applyAlignment="1">
      <alignment horizontal="left" vertical="center" wrapText="1"/>
    </xf>
    <xf numFmtId="0" fontId="0" fillId="19" borderId="46" xfId="0" applyFill="1" applyBorder="1" applyAlignment="1">
      <alignment horizontal="center" vertical="center"/>
    </xf>
    <xf numFmtId="0" fontId="90" fillId="19" borderId="3" xfId="0" applyFont="1" applyFill="1" applyBorder="1" applyAlignment="1">
      <alignment vertical="center" wrapText="1"/>
    </xf>
    <xf numFmtId="0" fontId="0" fillId="19" borderId="3" xfId="0" applyFill="1" applyBorder="1" applyAlignment="1">
      <alignment horizontal="right" vertical="center"/>
    </xf>
    <xf numFmtId="0" fontId="0" fillId="19" borderId="3" xfId="0" applyFill="1" applyBorder="1" applyAlignment="1">
      <alignment horizontal="right" vertical="center" wrapText="1"/>
    </xf>
    <xf numFmtId="0" fontId="0" fillId="19" borderId="46" xfId="0" applyFill="1" applyBorder="1" applyAlignment="1">
      <alignment horizontal="left" vertical="center"/>
    </xf>
    <xf numFmtId="0" fontId="0" fillId="19" borderId="3" xfId="0" applyFill="1" applyBorder="1" applyAlignment="1">
      <alignment horizontal="left" vertical="center"/>
    </xf>
    <xf numFmtId="0" fontId="72" fillId="0" borderId="32" xfId="0" applyFont="1" applyBorder="1" applyAlignment="1" applyProtection="1">
      <alignment horizontal="center" vertical="center" wrapText="1"/>
      <protection locked="0"/>
    </xf>
    <xf numFmtId="0" fontId="72" fillId="0" borderId="79" xfId="0" applyFont="1" applyBorder="1" applyAlignment="1" applyProtection="1">
      <alignment horizontal="center" vertical="center" wrapText="1"/>
      <protection locked="0"/>
    </xf>
    <xf numFmtId="0" fontId="72" fillId="0" borderId="29" xfId="0" applyFont="1" applyBorder="1" applyAlignment="1" applyProtection="1">
      <alignment horizontal="center" vertical="center" wrapText="1"/>
      <protection locked="0"/>
    </xf>
    <xf numFmtId="0" fontId="72" fillId="0" borderId="31" xfId="0" applyFont="1" applyBorder="1" applyAlignment="1" applyProtection="1">
      <alignment horizontal="center" vertical="center" wrapText="1"/>
      <protection locked="0"/>
    </xf>
    <xf numFmtId="0" fontId="11" fillId="0" borderId="30" xfId="53" applyFont="1" applyBorder="1" applyAlignment="1" applyProtection="1">
      <alignment vertical="center" wrapText="1"/>
      <protection locked="0"/>
    </xf>
    <xf numFmtId="0" fontId="11" fillId="0" borderId="79" xfId="53" applyFont="1" applyBorder="1" applyAlignment="1" applyProtection="1">
      <alignment vertical="center" wrapText="1"/>
      <protection locked="0"/>
    </xf>
    <xf numFmtId="0" fontId="11" fillId="0" borderId="28" xfId="53" applyFont="1" applyBorder="1" applyAlignment="1" applyProtection="1">
      <alignment vertical="center" wrapText="1"/>
      <protection locked="0"/>
    </xf>
    <xf numFmtId="0" fontId="46" fillId="0" borderId="29" xfId="53" applyFont="1" applyBorder="1" applyAlignment="1" applyProtection="1">
      <alignment horizontal="center" vertical="center" wrapText="1"/>
    </xf>
    <xf numFmtId="0" fontId="11" fillId="0" borderId="0" xfId="53" applyFont="1" applyProtection="1">
      <alignment vertical="center"/>
    </xf>
    <xf numFmtId="0" fontId="0" fillId="0" borderId="44" xfId="0" applyFont="1" applyBorder="1" applyAlignment="1">
      <alignment horizontal="center" vertical="center" shrinkToFit="1"/>
    </xf>
    <xf numFmtId="0" fontId="0" fillId="0" borderId="3" xfId="0" applyBorder="1" applyAlignment="1">
      <alignment vertical="center"/>
    </xf>
    <xf numFmtId="189" fontId="0" fillId="17" borderId="3" xfId="35" applyNumberFormat="1" applyFont="1" applyFill="1" applyBorder="1" applyAlignment="1" applyProtection="1">
      <alignment horizontal="center" vertical="center" wrapText="1" shrinkToFit="1"/>
      <protection locked="0"/>
    </xf>
    <xf numFmtId="40" fontId="0" fillId="17" borderId="3" xfId="35" applyNumberFormat="1" applyFont="1" applyFill="1" applyBorder="1" applyAlignment="1" applyProtection="1">
      <alignment horizontal="center" vertical="center"/>
      <protection locked="0"/>
    </xf>
    <xf numFmtId="38" fontId="9" fillId="9" borderId="3" xfId="35" applyFont="1" applyFill="1" applyBorder="1" applyAlignment="1" applyProtection="1">
      <alignment horizontal="right" vertical="center"/>
      <protection locked="0"/>
    </xf>
    <xf numFmtId="38" fontId="9" fillId="9" borderId="3" xfId="35" applyFont="1" applyFill="1" applyBorder="1" applyAlignment="1" applyProtection="1">
      <alignment horizontal="left" vertical="center"/>
      <protection locked="0"/>
    </xf>
    <xf numFmtId="0" fontId="9" fillId="9" borderId="3" xfId="0" applyFont="1" applyFill="1" applyBorder="1" applyAlignment="1" applyProtection="1">
      <alignment horizontal="center" vertical="center"/>
      <protection locked="0"/>
    </xf>
    <xf numFmtId="14" fontId="0" fillId="12" borderId="3" xfId="0" applyNumberFormat="1" applyFill="1" applyBorder="1" applyAlignment="1">
      <alignment horizontal="center" vertical="center"/>
    </xf>
    <xf numFmtId="9" fontId="11" fillId="0" borderId="0" xfId="27" applyFont="1">
      <alignment vertical="center"/>
    </xf>
    <xf numFmtId="198" fontId="0" fillId="0" borderId="3" xfId="0" applyNumberFormat="1" applyFill="1" applyBorder="1" applyAlignment="1">
      <alignment horizontal="center" vertical="center"/>
    </xf>
    <xf numFmtId="0" fontId="0" fillId="0" borderId="0" xfId="0" applyAlignment="1"/>
    <xf numFmtId="0" fontId="89" fillId="0" borderId="0" xfId="0" applyFont="1" applyAlignment="1">
      <alignment horizontal="left"/>
    </xf>
    <xf numFmtId="0" fontId="40" fillId="22" borderId="48" xfId="0" applyFont="1" applyFill="1" applyBorder="1" applyAlignment="1">
      <alignment horizontal="center" vertical="center" wrapText="1"/>
    </xf>
    <xf numFmtId="191" fontId="91" fillId="22" borderId="48" xfId="35" applyNumberFormat="1" applyFont="1" applyFill="1" applyBorder="1" applyAlignment="1">
      <alignment horizontal="center" vertical="center" wrapText="1"/>
    </xf>
    <xf numFmtId="9" fontId="40" fillId="22" borderId="48" xfId="27" applyFont="1" applyFill="1" applyBorder="1" applyAlignment="1">
      <alignment horizontal="center" vertical="center" wrapText="1"/>
    </xf>
    <xf numFmtId="0" fontId="40" fillId="22" borderId="20" xfId="0" applyFont="1" applyFill="1" applyBorder="1" applyAlignment="1">
      <alignment vertical="center" wrapText="1"/>
    </xf>
    <xf numFmtId="191" fontId="91" fillId="22" borderId="3" xfId="0" applyNumberFormat="1" applyFont="1" applyFill="1" applyBorder="1" applyAlignment="1">
      <alignment horizontal="right" vertical="center" wrapText="1"/>
    </xf>
    <xf numFmtId="0" fontId="40" fillId="22" borderId="10" xfId="0" applyFont="1" applyFill="1" applyBorder="1" applyAlignment="1">
      <alignment vertical="center" wrapText="1"/>
    </xf>
    <xf numFmtId="191" fontId="91" fillId="22" borderId="48" xfId="0" applyNumberFormat="1" applyFont="1" applyFill="1" applyBorder="1" applyAlignment="1">
      <alignment horizontal="center" vertical="center" wrapText="1"/>
    </xf>
    <xf numFmtId="0" fontId="40" fillId="22" borderId="3" xfId="0" applyFont="1" applyFill="1" applyBorder="1" applyAlignment="1">
      <alignment horizontal="center" vertical="center" wrapText="1"/>
    </xf>
    <xf numFmtId="0" fontId="73" fillId="0" borderId="0" xfId="0" applyFont="1" applyAlignment="1">
      <alignment horizontal="left" vertical="center"/>
    </xf>
    <xf numFmtId="0" fontId="73" fillId="11" borderId="55" xfId="0" applyFont="1" applyFill="1" applyBorder="1" applyAlignment="1">
      <alignment horizontal="center" vertical="center"/>
    </xf>
    <xf numFmtId="0" fontId="73" fillId="11" borderId="49" xfId="0" applyFont="1" applyFill="1" applyBorder="1" applyAlignment="1">
      <alignment horizontal="center" vertical="center"/>
    </xf>
    <xf numFmtId="0" fontId="73" fillId="11" borderId="56" xfId="0" applyFont="1" applyFill="1" applyBorder="1" applyAlignment="1">
      <alignment horizontal="center" vertical="center"/>
    </xf>
    <xf numFmtId="0" fontId="73" fillId="11" borderId="57" xfId="0" applyFont="1" applyFill="1" applyBorder="1" applyAlignment="1">
      <alignment horizontal="center" vertical="center"/>
    </xf>
    <xf numFmtId="0" fontId="73" fillId="11" borderId="0" xfId="0" applyFont="1" applyFill="1" applyBorder="1" applyAlignment="1">
      <alignment horizontal="center" vertical="center"/>
    </xf>
    <xf numFmtId="0" fontId="73" fillId="11" borderId="58" xfId="0" applyFont="1" applyFill="1" applyBorder="1" applyAlignment="1">
      <alignment horizontal="center" vertical="center"/>
    </xf>
    <xf numFmtId="0" fontId="73" fillId="11" borderId="50" xfId="0" applyFont="1" applyFill="1" applyBorder="1" applyAlignment="1">
      <alignment horizontal="center" vertical="center"/>
    </xf>
    <xf numFmtId="0" fontId="73" fillId="11" borderId="9" xfId="0" applyFont="1" applyFill="1" applyBorder="1" applyAlignment="1">
      <alignment horizontal="center" vertical="center"/>
    </xf>
    <xf numFmtId="0" fontId="73" fillId="11" borderId="48" xfId="0" applyFont="1" applyFill="1" applyBorder="1" applyAlignment="1">
      <alignment horizontal="center" vertical="center"/>
    </xf>
    <xf numFmtId="0" fontId="73" fillId="0" borderId="56" xfId="0" applyFont="1" applyFill="1" applyBorder="1" applyAlignment="1">
      <alignment horizontal="center" vertical="center" wrapText="1" shrinkToFit="1"/>
    </xf>
    <xf numFmtId="0" fontId="73" fillId="0" borderId="58" xfId="0" applyFont="1" applyFill="1" applyBorder="1" applyAlignment="1">
      <alignment horizontal="center" vertical="center" wrapText="1" shrinkToFit="1"/>
    </xf>
    <xf numFmtId="0" fontId="73" fillId="0" borderId="48" xfId="0" applyFont="1" applyFill="1" applyBorder="1" applyAlignment="1">
      <alignment horizontal="center" vertical="center" wrapText="1" shrinkToFit="1"/>
    </xf>
    <xf numFmtId="0" fontId="84" fillId="0" borderId="9" xfId="0" applyFont="1" applyBorder="1" applyAlignment="1">
      <alignment horizontal="left" vertical="center" wrapText="1"/>
    </xf>
    <xf numFmtId="0" fontId="0" fillId="17" borderId="38" xfId="0" applyFill="1" applyBorder="1" applyAlignment="1">
      <alignment horizontal="center" vertical="center" wrapText="1"/>
    </xf>
    <xf numFmtId="0" fontId="0" fillId="17" borderId="20" xfId="0" applyFill="1" applyBorder="1" applyAlignment="1">
      <alignment horizontal="center" vertical="center" wrapText="1"/>
    </xf>
    <xf numFmtId="14" fontId="0" fillId="17" borderId="38" xfId="0" applyNumberFormat="1" applyFill="1" applyBorder="1" applyAlignment="1">
      <alignment horizontal="center" vertical="center"/>
    </xf>
    <xf numFmtId="14" fontId="0" fillId="17" borderId="20" xfId="0" applyNumberFormat="1" applyFill="1" applyBorder="1" applyAlignment="1">
      <alignment horizontal="center" vertical="center"/>
    </xf>
    <xf numFmtId="0" fontId="0" fillId="17" borderId="38" xfId="0" applyFill="1" applyBorder="1" applyAlignment="1">
      <alignment horizontal="center" vertical="center"/>
    </xf>
    <xf numFmtId="0" fontId="0" fillId="17" borderId="20" xfId="0" applyFill="1" applyBorder="1" applyAlignment="1">
      <alignment horizontal="center" vertical="center"/>
    </xf>
    <xf numFmtId="0" fontId="42" fillId="0" borderId="49" xfId="0" applyFont="1" applyBorder="1" applyAlignment="1">
      <alignment horizontal="left" vertical="center"/>
    </xf>
    <xf numFmtId="0" fontId="0" fillId="10" borderId="2" xfId="0" applyFill="1" applyBorder="1" applyAlignment="1">
      <alignment horizontal="left" vertical="center"/>
    </xf>
    <xf numFmtId="0" fontId="0" fillId="10" borderId="46" xfId="0" applyFill="1" applyBorder="1" applyAlignment="1">
      <alignment horizontal="left" vertical="center"/>
    </xf>
    <xf numFmtId="0" fontId="0" fillId="10" borderId="3" xfId="0" applyFill="1" applyBorder="1" applyAlignment="1">
      <alignment horizontal="left" vertical="center"/>
    </xf>
    <xf numFmtId="0" fontId="0" fillId="10" borderId="2" xfId="0" applyFill="1" applyBorder="1" applyAlignment="1">
      <alignment horizontal="left" vertical="center" wrapText="1"/>
    </xf>
    <xf numFmtId="0" fontId="0" fillId="10" borderId="46" xfId="0" applyFill="1" applyBorder="1" applyAlignment="1">
      <alignment horizontal="left" vertical="center" wrapText="1"/>
    </xf>
    <xf numFmtId="0" fontId="0" fillId="10" borderId="38" xfId="0" applyFill="1" applyBorder="1" applyAlignment="1">
      <alignment horizontal="left" vertical="center"/>
    </xf>
    <xf numFmtId="0" fontId="0" fillId="10" borderId="20" xfId="0" applyFill="1" applyBorder="1" applyAlignment="1">
      <alignment horizontal="left" vertical="center"/>
    </xf>
    <xf numFmtId="0" fontId="0" fillId="19" borderId="56" xfId="0" applyFill="1" applyBorder="1" applyAlignment="1">
      <alignment horizontal="center" vertical="center"/>
    </xf>
    <xf numFmtId="0" fontId="0" fillId="19" borderId="48" xfId="0" applyFill="1" applyBorder="1" applyAlignment="1">
      <alignment horizontal="center" vertical="center"/>
    </xf>
    <xf numFmtId="38" fontId="0" fillId="0" borderId="44" xfId="35" applyFont="1" applyBorder="1" applyAlignment="1" applyProtection="1">
      <alignment horizontal="left" vertical="center"/>
      <protection locked="0"/>
    </xf>
    <xf numFmtId="38" fontId="0" fillId="0" borderId="2" xfId="35" applyFont="1" applyBorder="1" applyAlignment="1" applyProtection="1">
      <alignment horizontal="left" vertical="center"/>
      <protection locked="0"/>
    </xf>
    <xf numFmtId="38" fontId="0" fillId="0" borderId="46" xfId="35" applyFont="1" applyBorder="1" applyAlignment="1" applyProtection="1">
      <alignment horizontal="left" vertical="center"/>
      <protection locked="0"/>
    </xf>
    <xf numFmtId="38" fontId="45" fillId="0" borderId="44" xfId="31" applyNumberFormat="1" applyBorder="1" applyAlignment="1" applyProtection="1">
      <alignment horizontal="left" vertical="center"/>
      <protection locked="0"/>
    </xf>
    <xf numFmtId="38" fontId="45" fillId="0" borderId="2" xfId="31" applyNumberFormat="1" applyBorder="1" applyAlignment="1" applyProtection="1">
      <alignment horizontal="left" vertical="center"/>
      <protection locked="0"/>
    </xf>
    <xf numFmtId="38" fontId="45" fillId="0" borderId="46" xfId="31" applyNumberFormat="1"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38" xfId="0" applyFont="1" applyBorder="1" applyAlignment="1">
      <alignment horizontal="center" vertical="center" shrinkToFit="1"/>
    </xf>
    <xf numFmtId="0" fontId="0" fillId="0" borderId="54"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38"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20" xfId="0" applyFont="1" applyBorder="1" applyAlignment="1">
      <alignment horizontal="left" vertical="center" shrinkToFit="1"/>
    </xf>
    <xf numFmtId="0" fontId="0" fillId="0" borderId="3" xfId="0" applyFont="1" applyBorder="1" applyAlignment="1">
      <alignment horizontal="center" vertical="center" shrinkToFit="1"/>
    </xf>
    <xf numFmtId="0" fontId="0" fillId="0" borderId="55"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0" xfId="0" applyFont="1" applyBorder="1" applyAlignment="1">
      <alignment horizontal="center" vertical="center"/>
    </xf>
    <xf numFmtId="0" fontId="0" fillId="0" borderId="38" xfId="0" applyFont="1" applyBorder="1" applyAlignment="1">
      <alignment vertical="center" shrinkToFit="1"/>
    </xf>
    <xf numFmtId="0" fontId="0" fillId="0" borderId="54" xfId="0" applyFont="1" applyBorder="1" applyAlignment="1">
      <alignment vertical="center" shrinkToFit="1"/>
    </xf>
    <xf numFmtId="0" fontId="0" fillId="0" borderId="20" xfId="0" applyFont="1" applyBorder="1" applyAlignment="1">
      <alignment vertical="center" shrinkToFit="1"/>
    </xf>
    <xf numFmtId="0" fontId="0" fillId="0" borderId="56"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44"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38" xfId="0" applyFont="1" applyBorder="1" applyAlignment="1">
      <alignment horizontal="left" vertical="center" wrapText="1"/>
    </xf>
    <xf numFmtId="0" fontId="0" fillId="0" borderId="20" xfId="0" applyFont="1" applyBorder="1" applyAlignment="1">
      <alignment horizontal="left" vertical="center" wrapText="1"/>
    </xf>
    <xf numFmtId="0" fontId="0" fillId="0" borderId="55" xfId="0" applyFont="1" applyBorder="1" applyAlignment="1">
      <alignment horizontal="left" vertical="center" shrinkToFit="1"/>
    </xf>
    <xf numFmtId="0" fontId="0" fillId="0" borderId="57" xfId="0" applyFont="1" applyBorder="1" applyAlignment="1">
      <alignment horizontal="left" vertical="center" shrinkToFit="1"/>
    </xf>
    <xf numFmtId="0" fontId="0" fillId="0" borderId="50" xfId="0" applyFont="1" applyBorder="1" applyAlignment="1">
      <alignment horizontal="left" vertical="center" shrinkToFit="1"/>
    </xf>
    <xf numFmtId="0" fontId="17" fillId="7" borderId="44" xfId="0" applyFont="1" applyFill="1" applyBorder="1" applyAlignment="1">
      <alignment horizontal="center" vertical="center"/>
    </xf>
    <xf numFmtId="0" fontId="17" fillId="7" borderId="2" xfId="0" applyFont="1" applyFill="1" applyBorder="1" applyAlignment="1">
      <alignment horizontal="center" vertical="center"/>
    </xf>
    <xf numFmtId="0" fontId="0" fillId="0" borderId="0" xfId="0" applyFont="1" applyAlignment="1">
      <alignment horizontal="left" vertical="top" shrinkToFit="1"/>
    </xf>
    <xf numFmtId="49" fontId="61" fillId="0" borderId="0" xfId="0" applyNumberFormat="1" applyFont="1" applyAlignment="1">
      <alignment horizontal="center" vertical="center"/>
    </xf>
    <xf numFmtId="49" fontId="0" fillId="0" borderId="0" xfId="0" applyNumberFormat="1" applyFont="1" applyAlignment="1">
      <alignment horizontal="left" vertical="center" wrapText="1"/>
    </xf>
    <xf numFmtId="49" fontId="72" fillId="0" borderId="89" xfId="0" applyNumberFormat="1" applyFont="1" applyBorder="1" applyAlignment="1">
      <alignment horizontal="center" vertical="center" wrapText="1"/>
    </xf>
    <xf numFmtId="49" fontId="72" fillId="0" borderId="79" xfId="0" applyNumberFormat="1" applyFont="1" applyBorder="1" applyAlignment="1">
      <alignment horizontal="center" vertical="center" wrapText="1"/>
    </xf>
    <xf numFmtId="0" fontId="72" fillId="0" borderId="89" xfId="0" applyFont="1" applyBorder="1" applyAlignment="1" applyProtection="1">
      <alignment horizontal="center" vertical="center" wrapText="1"/>
      <protection locked="0"/>
    </xf>
    <xf numFmtId="0" fontId="72" fillId="0" borderId="79" xfId="0" applyFont="1" applyBorder="1" applyAlignment="1" applyProtection="1">
      <alignment horizontal="center" vertical="center" wrapText="1"/>
      <protection locked="0"/>
    </xf>
    <xf numFmtId="0" fontId="72" fillId="0" borderId="28" xfId="0" applyFont="1" applyBorder="1" applyAlignment="1" applyProtection="1">
      <alignment horizontal="center" vertical="center" wrapText="1"/>
      <protection locked="0"/>
    </xf>
    <xf numFmtId="49" fontId="72" fillId="0" borderId="30" xfId="0" applyNumberFormat="1" applyFont="1" applyBorder="1" applyAlignment="1">
      <alignment horizontal="center" vertical="center" wrapText="1"/>
    </xf>
    <xf numFmtId="0" fontId="72" fillId="0" borderId="30" xfId="0" applyFont="1" applyBorder="1" applyAlignment="1" applyProtection="1">
      <alignment horizontal="center" vertical="center" wrapText="1"/>
      <protection locked="0"/>
    </xf>
    <xf numFmtId="49" fontId="72" fillId="0" borderId="28" xfId="0" applyNumberFormat="1" applyFont="1" applyBorder="1" applyAlignment="1">
      <alignment horizontal="center" vertical="center" wrapText="1"/>
    </xf>
    <xf numFmtId="49" fontId="72" fillId="0" borderId="62" xfId="0" applyNumberFormat="1" applyFont="1" applyBorder="1" applyAlignment="1">
      <alignment horizontal="center" vertical="center" wrapText="1"/>
    </xf>
    <xf numFmtId="49" fontId="72" fillId="0" borderId="52" xfId="0" applyNumberFormat="1" applyFont="1" applyBorder="1" applyAlignment="1">
      <alignment horizontal="center" vertical="center" wrapText="1"/>
    </xf>
    <xf numFmtId="49" fontId="72" fillId="0" borderId="59" xfId="0" applyNumberFormat="1" applyFont="1" applyBorder="1" applyAlignment="1">
      <alignment horizontal="center" vertical="center" wrapText="1"/>
    </xf>
    <xf numFmtId="0" fontId="82" fillId="12" borderId="51" xfId="0" applyFont="1" applyFill="1" applyBorder="1" applyAlignment="1">
      <alignment horizontal="center" vertical="center" wrapText="1"/>
    </xf>
    <xf numFmtId="0" fontId="82" fillId="12" borderId="43" xfId="0" applyFont="1" applyFill="1" applyBorder="1" applyAlignment="1">
      <alignment horizontal="center" vertical="center" wrapText="1"/>
    </xf>
    <xf numFmtId="0" fontId="82" fillId="12" borderId="53" xfId="0" applyFont="1" applyFill="1" applyBorder="1" applyAlignment="1">
      <alignment horizontal="center" vertical="center" wrapText="1"/>
    </xf>
    <xf numFmtId="0" fontId="82" fillId="12" borderId="29" xfId="0" applyFont="1" applyFill="1" applyBorder="1" applyAlignment="1">
      <alignment horizontal="center" vertical="center" wrapText="1"/>
    </xf>
    <xf numFmtId="38" fontId="11" fillId="0" borderId="50" xfId="90" applyNumberFormat="1" applyFont="1" applyBorder="1" applyAlignment="1">
      <alignment horizontal="center" vertical="center" wrapText="1"/>
    </xf>
    <xf numFmtId="0" fontId="11" fillId="0" borderId="48" xfId="90" applyFont="1" applyBorder="1" applyAlignment="1">
      <alignment horizontal="center" vertical="center" wrapText="1"/>
    </xf>
    <xf numFmtId="0" fontId="11" fillId="7" borderId="50" xfId="90" applyFont="1" applyFill="1" applyBorder="1" applyAlignment="1">
      <alignment horizontal="center" vertical="center" wrapText="1"/>
    </xf>
    <xf numFmtId="0" fontId="11" fillId="7" borderId="48" xfId="90" applyFont="1" applyFill="1" applyBorder="1" applyAlignment="1">
      <alignment horizontal="center" vertical="center" wrapText="1"/>
    </xf>
    <xf numFmtId="0" fontId="11" fillId="0" borderId="67" xfId="90" applyFont="1" applyBorder="1" applyAlignment="1">
      <alignment horizontal="center" vertical="center" wrapText="1"/>
    </xf>
    <xf numFmtId="0" fontId="12" fillId="0" borderId="0" xfId="0" applyFont="1" applyAlignment="1">
      <alignment horizontal="center" vertical="center" shrinkToFit="1"/>
    </xf>
    <xf numFmtId="0" fontId="46" fillId="0" borderId="0" xfId="0" applyFont="1" applyBorder="1" applyAlignment="1">
      <alignment horizontal="center" vertical="center" shrinkToFit="1"/>
    </xf>
    <xf numFmtId="0" fontId="64" fillId="15" borderId="62" xfId="90" applyFont="1" applyFill="1" applyBorder="1" applyAlignment="1">
      <alignment horizontal="left" vertical="center" shrinkToFit="1"/>
    </xf>
    <xf numFmtId="0" fontId="64" fillId="15" borderId="63" xfId="90" applyFont="1" applyFill="1" applyBorder="1" applyAlignment="1">
      <alignment horizontal="left" vertical="center" shrinkToFit="1"/>
    </xf>
    <xf numFmtId="0" fontId="64" fillId="15" borderId="64" xfId="90" applyFont="1" applyFill="1" applyBorder="1" applyAlignment="1">
      <alignment horizontal="left" vertical="center" shrinkToFit="1"/>
    </xf>
    <xf numFmtId="38" fontId="11" fillId="0" borderId="55" xfId="90" applyNumberFormat="1" applyFont="1" applyFill="1" applyBorder="1" applyAlignment="1">
      <alignment vertical="center"/>
    </xf>
    <xf numFmtId="0" fontId="11" fillId="0" borderId="49" xfId="90" applyFont="1" applyFill="1" applyBorder="1" applyAlignment="1">
      <alignment vertical="center"/>
    </xf>
    <xf numFmtId="0" fontId="11" fillId="0" borderId="68" xfId="90" applyFont="1" applyFill="1" applyBorder="1" applyAlignment="1">
      <alignment vertical="center"/>
    </xf>
    <xf numFmtId="38" fontId="11" fillId="0" borderId="50" xfId="90" applyNumberFormat="1" applyFont="1" applyFill="1" applyBorder="1" applyAlignment="1">
      <alignment vertical="center"/>
    </xf>
    <xf numFmtId="0" fontId="11" fillId="0" borderId="9" xfId="90" applyFont="1" applyFill="1" applyBorder="1" applyAlignment="1">
      <alignment vertical="center"/>
    </xf>
    <xf numFmtId="0" fontId="11" fillId="0" borderId="67" xfId="90" applyFont="1" applyFill="1" applyBorder="1" applyAlignment="1">
      <alignment vertical="center"/>
    </xf>
    <xf numFmtId="38" fontId="11" fillId="0" borderId="44" xfId="90" applyNumberFormat="1" applyFont="1" applyFill="1" applyBorder="1" applyAlignment="1">
      <alignment vertical="center"/>
    </xf>
    <xf numFmtId="0" fontId="11" fillId="0" borderId="2" xfId="90" applyFont="1" applyFill="1" applyBorder="1" applyAlignment="1">
      <alignment vertical="center"/>
    </xf>
    <xf numFmtId="0" fontId="11" fillId="0" borderId="65" xfId="90" applyFont="1" applyFill="1" applyBorder="1" applyAlignment="1">
      <alignment vertical="center"/>
    </xf>
    <xf numFmtId="38" fontId="13" fillId="0" borderId="55" xfId="90" applyNumberFormat="1" applyFont="1" applyFill="1" applyBorder="1" applyAlignment="1">
      <alignment horizontal="center"/>
    </xf>
    <xf numFmtId="0" fontId="13" fillId="0" borderId="56" xfId="90" applyFont="1" applyFill="1" applyBorder="1" applyAlignment="1">
      <alignment horizontal="center"/>
    </xf>
    <xf numFmtId="0" fontId="13" fillId="7" borderId="55" xfId="90" applyFont="1" applyFill="1" applyBorder="1" applyAlignment="1">
      <alignment horizontal="center"/>
    </xf>
    <xf numFmtId="0" fontId="13" fillId="7" borderId="56" xfId="90" applyFont="1" applyFill="1" applyBorder="1" applyAlignment="1">
      <alignment horizontal="center"/>
    </xf>
    <xf numFmtId="0" fontId="13" fillId="0" borderId="68" xfId="90" applyFont="1" applyFill="1" applyBorder="1" applyAlignment="1">
      <alignment horizontal="center"/>
    </xf>
    <xf numFmtId="0" fontId="11" fillId="0" borderId="44" xfId="90" applyFont="1" applyFill="1" applyBorder="1" applyAlignment="1">
      <alignment vertical="center"/>
    </xf>
    <xf numFmtId="0" fontId="11" fillId="0" borderId="46" xfId="90" applyFont="1" applyFill="1" applyBorder="1" applyAlignment="1">
      <alignment vertical="center"/>
    </xf>
    <xf numFmtId="38" fontId="11" fillId="0" borderId="44" xfId="90" applyNumberFormat="1" applyFont="1" applyBorder="1" applyAlignment="1">
      <alignment vertical="center"/>
    </xf>
    <xf numFmtId="0" fontId="11" fillId="0" borderId="2" xfId="90" applyFont="1" applyBorder="1" applyAlignment="1">
      <alignment vertical="center"/>
    </xf>
    <xf numFmtId="0" fontId="11" fillId="0" borderId="65" xfId="90" applyFont="1" applyBorder="1" applyAlignment="1">
      <alignment vertical="center"/>
    </xf>
    <xf numFmtId="0" fontId="11" fillId="2" borderId="37" xfId="90" applyFont="1" applyFill="1" applyBorder="1" applyAlignment="1">
      <alignment horizontal="center" vertical="center" shrinkToFit="1"/>
    </xf>
    <xf numFmtId="0" fontId="11" fillId="2" borderId="66" xfId="90" applyFont="1" applyFill="1" applyBorder="1" applyAlignment="1">
      <alignment horizontal="center" vertical="center" shrinkToFit="1"/>
    </xf>
    <xf numFmtId="0" fontId="11" fillId="2" borderId="22" xfId="90" applyFont="1" applyFill="1" applyBorder="1" applyAlignment="1">
      <alignment horizontal="center" vertical="center" shrinkToFit="1"/>
    </xf>
    <xf numFmtId="0" fontId="11" fillId="0" borderId="44" xfId="90" applyFont="1" applyBorder="1" applyAlignment="1">
      <alignment horizontal="center" vertical="center"/>
    </xf>
    <xf numFmtId="0" fontId="11" fillId="0" borderId="46" xfId="90" applyFont="1" applyBorder="1" applyAlignment="1">
      <alignment horizontal="center" vertical="center"/>
    </xf>
    <xf numFmtId="0" fontId="11" fillId="7" borderId="44" xfId="90" applyFont="1" applyFill="1" applyBorder="1" applyAlignment="1">
      <alignment horizontal="center" vertical="center"/>
    </xf>
    <xf numFmtId="0" fontId="11" fillId="7" borderId="46" xfId="90" applyFont="1" applyFill="1" applyBorder="1" applyAlignment="1">
      <alignment horizontal="center" vertical="center"/>
    </xf>
    <xf numFmtId="0" fontId="11" fillId="0" borderId="65" xfId="90" applyFont="1" applyBorder="1" applyAlignment="1">
      <alignment horizontal="center" vertical="center"/>
    </xf>
    <xf numFmtId="0" fontId="11" fillId="0" borderId="44" xfId="90" applyFont="1" applyBorder="1" applyAlignment="1">
      <alignment horizontal="left" vertical="center"/>
    </xf>
    <xf numFmtId="0" fontId="11" fillId="0" borderId="2" xfId="90" applyFont="1" applyBorder="1" applyAlignment="1">
      <alignment horizontal="left" vertical="center"/>
    </xf>
    <xf numFmtId="0" fontId="11" fillId="0" borderId="65" xfId="90" applyFont="1" applyBorder="1" applyAlignment="1">
      <alignment horizontal="left" vertical="center"/>
    </xf>
    <xf numFmtId="0" fontId="11" fillId="0" borderId="70" xfId="0" applyFont="1" applyFill="1" applyBorder="1" applyAlignment="1">
      <alignment vertical="center"/>
    </xf>
    <xf numFmtId="0" fontId="11" fillId="0" borderId="1" xfId="0" applyFont="1" applyBorder="1" applyAlignment="1">
      <alignment vertical="center"/>
    </xf>
    <xf numFmtId="0" fontId="11" fillId="0" borderId="31" xfId="0" applyFont="1" applyBorder="1" applyAlignment="1">
      <alignment vertical="center"/>
    </xf>
    <xf numFmtId="0" fontId="64" fillId="15" borderId="71" xfId="0" applyFont="1" applyFill="1" applyBorder="1" applyAlignment="1">
      <alignment horizontal="left" vertical="center" shrinkToFit="1"/>
    </xf>
    <xf numFmtId="0" fontId="64" fillId="15" borderId="7" xfId="0" applyFont="1" applyFill="1" applyBorder="1" applyAlignment="1">
      <alignment horizontal="left" vertical="center"/>
    </xf>
    <xf numFmtId="0" fontId="64" fillId="15" borderId="72" xfId="0" applyFont="1" applyFill="1" applyBorder="1" applyAlignment="1">
      <alignment horizontal="left" vertical="center"/>
    </xf>
    <xf numFmtId="0" fontId="11" fillId="0" borderId="73"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46" xfId="0" applyFont="1" applyBorder="1" applyAlignment="1">
      <alignment horizontal="center" vertical="center" wrapText="1"/>
    </xf>
    <xf numFmtId="0" fontId="11" fillId="7" borderId="3" xfId="0" applyFont="1" applyFill="1" applyBorder="1" applyAlignment="1">
      <alignment horizontal="center" vertical="center"/>
    </xf>
    <xf numFmtId="0" fontId="11" fillId="0" borderId="65"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9" xfId="0" applyFont="1" applyBorder="1" applyAlignment="1">
      <alignment horizontal="center" vertical="center" wrapText="1"/>
    </xf>
    <xf numFmtId="0" fontId="11" fillId="7" borderId="1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29" xfId="0" applyFont="1" applyBorder="1" applyAlignment="1">
      <alignment horizontal="center" vertical="center" wrapText="1"/>
    </xf>
    <xf numFmtId="0" fontId="15" fillId="0" borderId="0" xfId="0" applyFont="1" applyAlignment="1">
      <alignment vertical="top" wrapText="1"/>
    </xf>
    <xf numFmtId="0" fontId="15" fillId="0" borderId="0" xfId="0" applyFont="1" applyAlignment="1">
      <alignment vertical="top"/>
    </xf>
    <xf numFmtId="0" fontId="13" fillId="0" borderId="55" xfId="90" applyFont="1" applyFill="1" applyBorder="1" applyAlignment="1">
      <alignment horizontal="center"/>
    </xf>
    <xf numFmtId="0" fontId="11" fillId="0" borderId="50" xfId="90" applyFont="1" applyBorder="1" applyAlignment="1">
      <alignment horizontal="center" vertical="center" wrapText="1"/>
    </xf>
    <xf numFmtId="0" fontId="11" fillId="0" borderId="44" xfId="90" applyFont="1" applyBorder="1" applyAlignment="1">
      <alignment vertical="center"/>
    </xf>
    <xf numFmtId="0" fontId="15" fillId="0" borderId="0" xfId="0" applyFont="1" applyAlignment="1">
      <alignment horizontal="left" vertical="top" wrapText="1"/>
    </xf>
    <xf numFmtId="0" fontId="11" fillId="0" borderId="44" xfId="90" applyFont="1" applyFill="1" applyBorder="1" applyAlignment="1">
      <alignment horizontal="center" vertical="center"/>
    </xf>
    <xf numFmtId="0" fontId="11" fillId="0" borderId="2" xfId="90" applyFont="1" applyFill="1" applyBorder="1" applyAlignment="1">
      <alignment horizontal="center" vertical="center"/>
    </xf>
    <xf numFmtId="0" fontId="11" fillId="0" borderId="65" xfId="90" applyFont="1" applyFill="1" applyBorder="1" applyAlignment="1">
      <alignment horizontal="center" vertical="center"/>
    </xf>
    <xf numFmtId="0" fontId="80" fillId="0" borderId="59" xfId="0" applyFont="1" applyBorder="1" applyAlignment="1">
      <alignment horizontal="left" vertical="center"/>
    </xf>
    <xf numFmtId="0" fontId="80" fillId="0" borderId="60" xfId="0" applyFont="1" applyBorder="1" applyAlignment="1">
      <alignment horizontal="left" vertical="center"/>
    </xf>
    <xf numFmtId="0" fontId="80" fillId="0" borderId="61" xfId="0" applyFont="1" applyBorder="1" applyAlignment="1">
      <alignment horizontal="left" vertical="center"/>
    </xf>
    <xf numFmtId="0" fontId="65" fillId="15" borderId="62" xfId="90" applyFont="1" applyFill="1" applyBorder="1" applyAlignment="1">
      <alignment horizontal="left" vertical="center" shrinkToFit="1"/>
    </xf>
    <xf numFmtId="0" fontId="56" fillId="0" borderId="0" xfId="53" applyFont="1" applyAlignment="1">
      <alignment horizontal="center" vertical="center" wrapText="1"/>
    </xf>
    <xf numFmtId="0" fontId="56" fillId="0" borderId="0" xfId="53" applyFont="1" applyAlignment="1">
      <alignment horizontal="center" vertical="center"/>
    </xf>
    <xf numFmtId="0" fontId="46" fillId="16" borderId="33" xfId="53" applyFont="1" applyFill="1" applyBorder="1" applyAlignment="1">
      <alignment horizontal="justify" vertical="top" wrapText="1"/>
    </xf>
    <xf numFmtId="0" fontId="46" fillId="16" borderId="1" xfId="53" applyFont="1" applyFill="1" applyBorder="1" applyAlignment="1">
      <alignment horizontal="justify" vertical="top" wrapText="1"/>
    </xf>
    <xf numFmtId="0" fontId="46" fillId="16" borderId="31" xfId="53" applyFont="1" applyFill="1" applyBorder="1" applyAlignment="1">
      <alignment horizontal="justify" vertical="top" wrapText="1"/>
    </xf>
    <xf numFmtId="0" fontId="37" fillId="0" borderId="4" xfId="53" applyFont="1" applyBorder="1" applyAlignment="1">
      <alignment horizontal="center" vertical="center"/>
    </xf>
    <xf numFmtId="0" fontId="46" fillId="0" borderId="30" xfId="53"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53" applyFont="1" applyBorder="1" applyAlignment="1" applyProtection="1">
      <alignment horizontal="left" vertical="center" wrapText="1"/>
      <protection locked="0"/>
    </xf>
    <xf numFmtId="0" fontId="11" fillId="0" borderId="1" xfId="53" applyFont="1" applyBorder="1" applyAlignment="1" applyProtection="1">
      <alignment horizontal="left" vertical="center" wrapText="1"/>
      <protection locked="0"/>
    </xf>
    <xf numFmtId="0" fontId="11" fillId="0" borderId="31" xfId="53" applyFont="1" applyBorder="1" applyAlignment="1" applyProtection="1">
      <alignment horizontal="left" vertical="center" wrapText="1"/>
      <protection locked="0"/>
    </xf>
    <xf numFmtId="0" fontId="11" fillId="0" borderId="52" xfId="53" applyFont="1" applyBorder="1" applyAlignment="1">
      <alignment horizontal="left" vertical="center" wrapText="1"/>
    </xf>
    <xf numFmtId="0" fontId="11" fillId="0" borderId="0" xfId="53" applyFont="1" applyBorder="1" applyAlignment="1">
      <alignment horizontal="left" vertical="center" wrapText="1"/>
    </xf>
    <xf numFmtId="0" fontId="11" fillId="0" borderId="17" xfId="53" applyFont="1" applyBorder="1" applyAlignment="1">
      <alignment horizontal="left" vertical="center" wrapText="1"/>
    </xf>
    <xf numFmtId="0" fontId="11" fillId="0" borderId="33" xfId="53" applyFont="1" applyBorder="1" applyAlignment="1" applyProtection="1">
      <alignment horizontal="left" vertical="center"/>
      <protection locked="0"/>
    </xf>
    <xf numFmtId="0" fontId="11" fillId="0" borderId="1" xfId="53" applyFont="1" applyBorder="1" applyAlignment="1" applyProtection="1">
      <alignment horizontal="left" vertical="center"/>
      <protection locked="0"/>
    </xf>
    <xf numFmtId="38" fontId="11" fillId="0" borderId="33" xfId="53" applyNumberFormat="1" applyFont="1" applyBorder="1" applyAlignment="1">
      <alignment vertical="center"/>
    </xf>
    <xf numFmtId="0" fontId="11" fillId="0" borderId="1" xfId="53" applyFont="1" applyBorder="1" applyAlignment="1">
      <alignment vertical="center"/>
    </xf>
    <xf numFmtId="0" fontId="11" fillId="0" borderId="31" xfId="53" applyFont="1" applyBorder="1" applyAlignment="1">
      <alignment vertical="center"/>
    </xf>
    <xf numFmtId="0" fontId="11" fillId="0" borderId="33" xfId="53" applyFont="1" applyBorder="1" applyAlignment="1">
      <alignment horizontal="left" vertical="center"/>
    </xf>
    <xf numFmtId="0" fontId="11" fillId="0" borderId="1" xfId="53" applyFont="1" applyBorder="1" applyAlignment="1">
      <alignment horizontal="left" vertical="center"/>
    </xf>
    <xf numFmtId="38" fontId="11" fillId="0" borderId="33" xfId="53" applyNumberFormat="1" applyFont="1" applyBorder="1" applyAlignment="1" applyProtection="1">
      <alignment horizontal="left" vertical="center" wrapText="1"/>
    </xf>
    <xf numFmtId="0" fontId="11" fillId="0" borderId="1" xfId="53" applyFont="1" applyBorder="1" applyAlignment="1" applyProtection="1">
      <alignment horizontal="left" vertical="center" wrapText="1"/>
    </xf>
    <xf numFmtId="0" fontId="11" fillId="0" borderId="31" xfId="53" applyFont="1" applyBorder="1" applyAlignment="1" applyProtection="1">
      <alignment horizontal="left" vertical="center" wrapText="1"/>
    </xf>
    <xf numFmtId="0" fontId="11" fillId="0" borderId="33" xfId="53" applyFont="1" applyBorder="1" applyAlignment="1">
      <alignment horizontal="left" vertical="center" wrapText="1"/>
    </xf>
    <xf numFmtId="0" fontId="11" fillId="0" borderId="1" xfId="53" applyFont="1" applyBorder="1" applyAlignment="1">
      <alignment horizontal="left" vertical="center" wrapText="1"/>
    </xf>
    <xf numFmtId="0" fontId="11" fillId="0" borderId="31" xfId="53" applyFont="1" applyBorder="1" applyAlignment="1">
      <alignment horizontal="left" vertical="center" wrapText="1"/>
    </xf>
    <xf numFmtId="0" fontId="46" fillId="0" borderId="79" xfId="53" applyFont="1" applyBorder="1" applyAlignment="1">
      <alignment horizontal="center" vertical="center" wrapText="1"/>
    </xf>
    <xf numFmtId="0" fontId="46" fillId="0" borderId="28" xfId="53" applyFont="1" applyBorder="1" applyAlignment="1">
      <alignment horizontal="center" vertical="center" wrapText="1"/>
    </xf>
    <xf numFmtId="0" fontId="0" fillId="0" borderId="1" xfId="0" applyBorder="1">
      <alignment vertical="center"/>
    </xf>
    <xf numFmtId="0" fontId="0" fillId="0" borderId="31" xfId="0" applyBorder="1">
      <alignment vertical="center"/>
    </xf>
    <xf numFmtId="0" fontId="46" fillId="0" borderId="4" xfId="53" applyFont="1" applyBorder="1" applyAlignment="1">
      <alignment horizontal="center" vertical="top" wrapText="1"/>
    </xf>
    <xf numFmtId="0" fontId="11" fillId="0" borderId="27" xfId="53" applyFont="1" applyBorder="1" applyAlignment="1">
      <alignment horizontal="center" vertical="center"/>
    </xf>
    <xf numFmtId="0" fontId="11" fillId="0" borderId="4" xfId="53" applyFont="1" applyBorder="1" applyAlignment="1">
      <alignment horizontal="center" vertical="center"/>
    </xf>
    <xf numFmtId="0" fontId="11" fillId="0" borderId="53" xfId="53" applyFont="1" applyBorder="1" applyAlignment="1">
      <alignment horizontal="left" vertical="center" wrapText="1"/>
    </xf>
    <xf numFmtId="0" fontId="11" fillId="0" borderId="4" xfId="53" applyFont="1" applyBorder="1" applyAlignment="1">
      <alignment horizontal="left" vertical="center" wrapText="1"/>
    </xf>
    <xf numFmtId="0" fontId="11" fillId="0" borderId="29" xfId="53" applyFont="1" applyBorder="1" applyAlignment="1">
      <alignment horizontal="left" vertical="center" wrapText="1"/>
    </xf>
    <xf numFmtId="194" fontId="11" fillId="0" borderId="51" xfId="35" applyNumberFormat="1" applyFont="1" applyBorder="1" applyAlignment="1">
      <alignment horizontal="left" vertical="center" wrapText="1"/>
    </xf>
    <xf numFmtId="194" fontId="11" fillId="0" borderId="27" xfId="35" applyNumberFormat="1" applyFont="1" applyBorder="1" applyAlignment="1">
      <alignment horizontal="left" vertical="center" wrapText="1"/>
    </xf>
    <xf numFmtId="194" fontId="11" fillId="0" borderId="43" xfId="35" applyNumberFormat="1" applyFont="1" applyBorder="1" applyAlignment="1">
      <alignment horizontal="left" vertical="center" wrapText="1"/>
    </xf>
    <xf numFmtId="0" fontId="52" fillId="0" borderId="0" xfId="53" applyFont="1" applyBorder="1" applyAlignment="1">
      <alignment horizontal="left" vertical="center" wrapText="1"/>
    </xf>
    <xf numFmtId="0" fontId="52" fillId="0" borderId="0" xfId="53" applyFont="1" applyBorder="1" applyAlignment="1">
      <alignment horizontal="left" vertical="center"/>
    </xf>
    <xf numFmtId="0" fontId="46" fillId="16" borderId="33" xfId="64" applyFont="1" applyFill="1" applyBorder="1" applyAlignment="1">
      <alignment horizontal="justify" vertical="top" wrapText="1"/>
    </xf>
    <xf numFmtId="0" fontId="11" fillId="0" borderId="33" xfId="75" applyFont="1" applyBorder="1" applyProtection="1">
      <alignment vertical="center"/>
      <protection locked="0"/>
    </xf>
    <xf numFmtId="0" fontId="11" fillId="0" borderId="1" xfId="75" applyFont="1" applyBorder="1" applyProtection="1">
      <alignment vertical="center"/>
      <protection locked="0"/>
    </xf>
    <xf numFmtId="0" fontId="11" fillId="0" borderId="31" xfId="75" applyFont="1" applyBorder="1" applyProtection="1">
      <alignment vertical="center"/>
      <protection locked="0"/>
    </xf>
    <xf numFmtId="0" fontId="9" fillId="0" borderId="1" xfId="0" applyFont="1" applyBorder="1">
      <alignment vertical="center"/>
    </xf>
    <xf numFmtId="0" fontId="9" fillId="0" borderId="31" xfId="0" applyFont="1" applyBorder="1">
      <alignment vertical="center"/>
    </xf>
    <xf numFmtId="0" fontId="46" fillId="0" borderId="30" xfId="53" applyFont="1" applyBorder="1" applyAlignment="1" applyProtection="1">
      <alignment horizontal="center" vertical="center" wrapText="1"/>
    </xf>
    <xf numFmtId="0" fontId="46" fillId="0" borderId="28" xfId="53" applyFont="1" applyBorder="1" applyAlignment="1" applyProtection="1">
      <alignment horizontal="center" vertical="center" wrapText="1"/>
    </xf>
    <xf numFmtId="38" fontId="57" fillId="0" borderId="33" xfId="35" applyFont="1" applyFill="1" applyBorder="1" applyAlignment="1">
      <alignment horizontal="center" vertical="center"/>
    </xf>
    <xf numFmtId="38" fontId="57" fillId="0" borderId="31" xfId="35" applyFont="1" applyFill="1" applyBorder="1" applyAlignment="1">
      <alignment horizontal="center" vertical="center"/>
    </xf>
    <xf numFmtId="38" fontId="11" fillId="0" borderId="33" xfId="75" applyNumberFormat="1" applyFont="1" applyBorder="1">
      <alignment vertical="center"/>
    </xf>
    <xf numFmtId="0" fontId="11" fillId="0" borderId="1" xfId="75" applyFont="1" applyBorder="1">
      <alignment vertical="center"/>
    </xf>
    <xf numFmtId="0" fontId="11" fillId="0" borderId="31" xfId="75" applyFont="1" applyBorder="1">
      <alignment vertical="center"/>
    </xf>
    <xf numFmtId="0" fontId="46" fillId="0" borderId="33" xfId="53" applyFont="1" applyBorder="1" applyAlignment="1">
      <alignment horizontal="left" vertical="center" wrapText="1"/>
    </xf>
    <xf numFmtId="0" fontId="46" fillId="0" borderId="31" xfId="53" applyFont="1" applyBorder="1" applyAlignment="1">
      <alignment horizontal="left" vertical="center" wrapText="1"/>
    </xf>
    <xf numFmtId="38" fontId="57" fillId="0" borderId="33" xfId="35" applyFont="1" applyBorder="1" applyAlignment="1">
      <alignment horizontal="center" vertical="center"/>
    </xf>
    <xf numFmtId="38" fontId="57" fillId="0" borderId="31" xfId="35" applyFont="1" applyBorder="1" applyAlignment="1">
      <alignment horizontal="center" vertical="center"/>
    </xf>
    <xf numFmtId="38" fontId="57" fillId="0" borderId="33" xfId="35" applyNumberFormat="1" applyFont="1" applyFill="1" applyBorder="1" applyAlignment="1">
      <alignment horizontal="center" vertical="center"/>
    </xf>
    <xf numFmtId="38" fontId="57" fillId="0" borderId="31" xfId="35" applyNumberFormat="1" applyFont="1" applyFill="1" applyBorder="1" applyAlignment="1">
      <alignment horizontal="center" vertical="center"/>
    </xf>
    <xf numFmtId="0" fontId="46" fillId="16" borderId="33" xfId="53" applyFont="1" applyFill="1" applyBorder="1" applyAlignment="1">
      <alignment horizontal="justify" vertical="center" wrapText="1"/>
    </xf>
    <xf numFmtId="0" fontId="46" fillId="16" borderId="1" xfId="53" applyFont="1" applyFill="1" applyBorder="1" applyAlignment="1">
      <alignment horizontal="justify" vertical="center" wrapText="1"/>
    </xf>
    <xf numFmtId="0" fontId="46" fillId="16" borderId="31" xfId="53" applyFont="1" applyFill="1" applyBorder="1" applyAlignment="1">
      <alignment horizontal="justify" vertical="center" wrapText="1"/>
    </xf>
    <xf numFmtId="0" fontId="46" fillId="0" borderId="30" xfId="53" applyFont="1" applyFill="1" applyBorder="1" applyAlignment="1">
      <alignment horizontal="center" vertical="center" wrapText="1"/>
    </xf>
    <xf numFmtId="0" fontId="46" fillId="0" borderId="79" xfId="53" applyFont="1" applyFill="1" applyBorder="1" applyAlignment="1">
      <alignment horizontal="center" vertical="center" wrapText="1"/>
    </xf>
    <xf numFmtId="0" fontId="46" fillId="0" borderId="28" xfId="53" applyFont="1" applyFill="1" applyBorder="1" applyAlignment="1">
      <alignment horizontal="center" vertical="center" wrapText="1"/>
    </xf>
    <xf numFmtId="0" fontId="46" fillId="0" borderId="33" xfId="53" applyFont="1" applyBorder="1" applyAlignment="1">
      <alignment horizontal="center" vertical="top" wrapText="1"/>
    </xf>
    <xf numFmtId="0" fontId="46" fillId="0" borderId="1" xfId="53" applyFont="1" applyBorder="1" applyAlignment="1">
      <alignment horizontal="center" vertical="top" wrapText="1"/>
    </xf>
    <xf numFmtId="0" fontId="11" fillId="0" borderId="31" xfId="0" applyFont="1" applyBorder="1" applyAlignment="1">
      <alignment vertical="center" wrapText="1"/>
    </xf>
    <xf numFmtId="189" fontId="11" fillId="0" borderId="51" xfId="35" applyNumberFormat="1" applyFont="1" applyBorder="1" applyAlignment="1">
      <alignment horizontal="center" vertical="top" wrapText="1"/>
    </xf>
    <xf numFmtId="189" fontId="11" fillId="0" borderId="27" xfId="35" applyNumberFormat="1" applyFont="1" applyBorder="1" applyAlignment="1">
      <alignment horizontal="center" vertical="top" wrapText="1"/>
    </xf>
    <xf numFmtId="189" fontId="11" fillId="0" borderId="43" xfId="35" applyNumberFormat="1" applyFont="1" applyBorder="1" applyAlignment="1">
      <alignment horizontal="center" vertical="top" wrapText="1"/>
    </xf>
    <xf numFmtId="38" fontId="57" fillId="0" borderId="33" xfId="35" applyFont="1" applyFill="1" applyBorder="1" applyAlignment="1" applyProtection="1">
      <alignment horizontal="center" vertical="center"/>
      <protection locked="0"/>
    </xf>
    <xf numFmtId="38" fontId="57" fillId="0" borderId="31" xfId="35" applyFont="1" applyFill="1" applyBorder="1" applyAlignment="1" applyProtection="1">
      <alignment horizontal="center" vertical="center"/>
      <protection locked="0"/>
    </xf>
    <xf numFmtId="0" fontId="46" fillId="0" borderId="51" xfId="53" applyFont="1" applyBorder="1" applyAlignment="1">
      <alignment horizontal="center" vertical="top" wrapText="1"/>
    </xf>
    <xf numFmtId="0" fontId="46" fillId="0" borderId="43" xfId="53" applyFont="1" applyBorder="1" applyAlignment="1">
      <alignment horizontal="center" vertical="top" wrapText="1"/>
    </xf>
    <xf numFmtId="0" fontId="46" fillId="0" borderId="31" xfId="53" applyFont="1" applyBorder="1" applyAlignment="1">
      <alignment horizontal="center" vertical="top" wrapText="1"/>
    </xf>
    <xf numFmtId="0" fontId="17" fillId="0" borderId="27" xfId="0" applyFont="1" applyBorder="1" applyAlignment="1">
      <alignment vertical="center" wrapText="1" shrinkToFit="1"/>
    </xf>
    <xf numFmtId="176" fontId="81" fillId="14" borderId="71" xfId="0" applyNumberFormat="1" applyFont="1" applyFill="1" applyBorder="1" applyAlignment="1">
      <alignment horizontal="center" vertical="center"/>
    </xf>
    <xf numFmtId="176" fontId="81" fillId="14" borderId="72" xfId="0" applyNumberFormat="1" applyFont="1" applyFill="1" applyBorder="1" applyAlignment="1">
      <alignment horizontal="center" vertical="center"/>
    </xf>
    <xf numFmtId="0" fontId="17" fillId="2" borderId="86" xfId="0" applyFont="1" applyFill="1" applyBorder="1" applyAlignment="1">
      <alignment horizontal="center" vertical="center" wrapText="1"/>
    </xf>
    <xf numFmtId="0" fontId="17" fillId="0" borderId="63" xfId="0" applyFont="1" applyBorder="1" applyAlignment="1">
      <alignment horizontal="center" vertical="center"/>
    </xf>
    <xf numFmtId="0" fontId="17" fillId="0" borderId="87" xfId="0" applyFont="1" applyBorder="1" applyAlignment="1">
      <alignment horizontal="center" vertical="center"/>
    </xf>
    <xf numFmtId="0" fontId="17" fillId="2" borderId="63" xfId="0" applyFont="1" applyFill="1" applyBorder="1" applyAlignment="1">
      <alignment horizontal="center" vertical="center" wrapText="1"/>
    </xf>
    <xf numFmtId="0" fontId="17" fillId="2" borderId="87"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4" xfId="0" applyFont="1" applyBorder="1" applyAlignment="1">
      <alignment horizontal="left" vertical="center" shrinkToFit="1"/>
    </xf>
    <xf numFmtId="0" fontId="17" fillId="2" borderId="84" xfId="0" applyFont="1" applyFill="1" applyBorder="1" applyAlignment="1">
      <alignment horizontal="center" vertical="center" wrapText="1" shrinkToFit="1"/>
    </xf>
    <xf numFmtId="0" fontId="17" fillId="0" borderId="85" xfId="0" applyFont="1" applyBorder="1" applyAlignment="1">
      <alignment horizontal="center" vertical="center" wrapText="1" shrinkToFit="1"/>
    </xf>
    <xf numFmtId="0" fontId="17" fillId="2" borderId="82" xfId="0" applyFont="1" applyFill="1" applyBorder="1" applyAlignment="1">
      <alignment horizontal="center" vertical="center" wrapText="1"/>
    </xf>
    <xf numFmtId="0" fontId="17" fillId="0" borderId="83" xfId="0" applyFont="1" applyBorder="1" applyAlignment="1">
      <alignment horizontal="center" vertical="center" wrapText="1"/>
    </xf>
    <xf numFmtId="0" fontId="42" fillId="3" borderId="80" xfId="0" applyFont="1" applyFill="1" applyBorder="1" applyAlignment="1">
      <alignment horizontal="center" vertical="center" shrinkToFit="1"/>
    </xf>
    <xf numFmtId="0" fontId="42" fillId="3" borderId="81" xfId="0" applyFont="1" applyFill="1" applyBorder="1" applyAlignment="1">
      <alignment horizontal="center" vertical="center" shrinkToFit="1"/>
    </xf>
    <xf numFmtId="11" fontId="81" fillId="14" borderId="19" xfId="0" applyNumberFormat="1" applyFont="1" applyFill="1" applyBorder="1" applyAlignment="1">
      <alignment horizontal="center" vertical="center" shrinkToFit="1"/>
    </xf>
    <xf numFmtId="11" fontId="81" fillId="14" borderId="13" xfId="0" applyNumberFormat="1" applyFont="1" applyFill="1" applyBorder="1" applyAlignment="1">
      <alignment horizontal="center" vertical="center" shrinkToFit="1"/>
    </xf>
    <xf numFmtId="10" fontId="17" fillId="7" borderId="76" xfId="0" applyNumberFormat="1" applyFont="1" applyFill="1" applyBorder="1" applyAlignment="1">
      <alignment horizontal="center" vertical="center" wrapText="1"/>
    </xf>
    <xf numFmtId="10" fontId="17" fillId="7" borderId="88" xfId="0" applyNumberFormat="1" applyFont="1" applyFill="1" applyBorder="1" applyAlignment="1">
      <alignment horizontal="center" vertical="center" wrapText="1"/>
    </xf>
    <xf numFmtId="0" fontId="0" fillId="0" borderId="4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65" xfId="0" applyFont="1" applyBorder="1" applyAlignment="1">
      <alignment horizontal="center" vertical="center" shrinkToFit="1"/>
    </xf>
    <xf numFmtId="0" fontId="46" fillId="0" borderId="0" xfId="0" applyFont="1" applyAlignment="1">
      <alignment horizontal="left" vertical="center" wrapText="1"/>
    </xf>
    <xf numFmtId="0" fontId="46" fillId="0" borderId="0" xfId="0" applyFont="1" applyAlignment="1">
      <alignment horizontal="left" vertical="center"/>
    </xf>
    <xf numFmtId="0" fontId="17" fillId="0" borderId="0" xfId="0" applyFont="1" applyBorder="1" applyAlignment="1">
      <alignment horizontal="left" vertical="center" shrinkToFit="1"/>
    </xf>
    <xf numFmtId="0" fontId="17" fillId="0" borderId="62"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62" xfId="0" applyFont="1" applyBorder="1" applyAlignment="1">
      <alignment horizontal="center" vertical="center"/>
    </xf>
    <xf numFmtId="0" fontId="17" fillId="0" borderId="64" xfId="0" applyFont="1" applyBorder="1" applyAlignment="1">
      <alignment horizontal="center" vertical="center"/>
    </xf>
    <xf numFmtId="0" fontId="0" fillId="0" borderId="0" xfId="0" applyFont="1" applyBorder="1" applyAlignment="1">
      <alignment horizontal="center" vertical="center" shrinkToFit="1"/>
    </xf>
    <xf numFmtId="0" fontId="15" fillId="0" borderId="44" xfId="0" applyFont="1" applyBorder="1" applyAlignment="1">
      <alignment horizontal="center" vertical="center"/>
    </xf>
    <xf numFmtId="0" fontId="15" fillId="0" borderId="2" xfId="0" applyFont="1" applyBorder="1" applyAlignment="1">
      <alignment horizontal="center" vertical="center"/>
    </xf>
    <xf numFmtId="0" fontId="15" fillId="0" borderId="65" xfId="0" applyFont="1" applyBorder="1" applyAlignment="1">
      <alignment horizontal="center" vertical="center"/>
    </xf>
    <xf numFmtId="0" fontId="15" fillId="0" borderId="73"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0" fillId="0" borderId="73" xfId="0" applyFont="1" applyBorder="1" applyAlignment="1">
      <alignment horizontal="left" vertical="center" wrapText="1" shrinkToFit="1"/>
    </xf>
    <xf numFmtId="0" fontId="0" fillId="0" borderId="60" xfId="0" applyFont="1" applyBorder="1" applyAlignment="1">
      <alignment horizontal="left" vertical="center" wrapText="1" shrinkToFit="1"/>
    </xf>
    <xf numFmtId="0" fontId="0" fillId="0" borderId="61" xfId="0" applyFont="1" applyBorder="1" applyAlignment="1">
      <alignment horizontal="left" vertical="center" wrapText="1" shrinkToFit="1"/>
    </xf>
    <xf numFmtId="0" fontId="42" fillId="3" borderId="53" xfId="0" applyFont="1" applyFill="1" applyBorder="1" applyAlignment="1">
      <alignment horizontal="center" vertical="center" shrinkToFit="1"/>
    </xf>
    <xf numFmtId="0" fontId="42" fillId="3" borderId="91" xfId="0" applyFont="1" applyFill="1" applyBorder="1" applyAlignment="1">
      <alignment horizontal="center" vertical="center" shrinkToFit="1"/>
    </xf>
    <xf numFmtId="0" fontId="40" fillId="0" borderId="44" xfId="0" applyFont="1" applyBorder="1" applyAlignment="1">
      <alignment horizontal="left" vertical="center" wrapText="1"/>
    </xf>
    <xf numFmtId="0" fontId="40" fillId="0" borderId="2" xfId="0" applyFont="1" applyBorder="1" applyAlignment="1">
      <alignment horizontal="left" vertical="center" wrapText="1"/>
    </xf>
    <xf numFmtId="0" fontId="40" fillId="0" borderId="65" xfId="0" applyFont="1" applyBorder="1" applyAlignment="1">
      <alignment horizontal="left" vertical="center" wrapText="1"/>
    </xf>
    <xf numFmtId="0" fontId="40" fillId="0" borderId="44"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37" xfId="0" applyFont="1" applyBorder="1" applyAlignment="1">
      <alignment horizontal="center" vertical="center" wrapText="1"/>
    </xf>
    <xf numFmtId="0" fontId="40" fillId="0" borderId="6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20" xfId="0" applyFont="1" applyBorder="1" applyAlignment="1">
      <alignment horizontal="center" vertical="center" wrapText="1"/>
    </xf>
    <xf numFmtId="191" fontId="91" fillId="0" borderId="38" xfId="0" applyNumberFormat="1" applyFont="1" applyBorder="1" applyAlignment="1">
      <alignment horizontal="right" vertical="center" wrapText="1"/>
    </xf>
    <xf numFmtId="191" fontId="91" fillId="0" borderId="20" xfId="0" applyNumberFormat="1" applyFont="1" applyBorder="1" applyAlignment="1">
      <alignment horizontal="right" vertical="center" wrapText="1"/>
    </xf>
    <xf numFmtId="191" fontId="91" fillId="0" borderId="54" xfId="0" applyNumberFormat="1" applyFont="1" applyBorder="1" applyAlignment="1">
      <alignment horizontal="right" vertical="center" wrapText="1"/>
    </xf>
    <xf numFmtId="0" fontId="40" fillId="0" borderId="54" xfId="0" applyFont="1" applyBorder="1" applyAlignment="1">
      <alignment horizontal="center" vertical="center" wrapText="1"/>
    </xf>
    <xf numFmtId="191" fontId="91" fillId="0" borderId="3" xfId="0" applyNumberFormat="1" applyFont="1" applyBorder="1" applyAlignment="1">
      <alignment horizontal="right" vertical="center" wrapText="1"/>
    </xf>
    <xf numFmtId="0" fontId="40" fillId="0" borderId="3" xfId="0" applyFont="1" applyBorder="1" applyAlignment="1">
      <alignment horizontal="center" vertical="center" wrapText="1"/>
    </xf>
    <xf numFmtId="0" fontId="40" fillId="0" borderId="3" xfId="0" applyFont="1" applyBorder="1" applyAlignment="1">
      <alignment horizontal="left" vertical="center" wrapText="1"/>
    </xf>
    <xf numFmtId="0" fontId="40" fillId="0" borderId="38" xfId="0" applyFont="1" applyBorder="1" applyAlignment="1">
      <alignment horizontal="left" vertical="center" wrapText="1"/>
    </xf>
    <xf numFmtId="0" fontId="40" fillId="0" borderId="54" xfId="0" applyFont="1" applyBorder="1" applyAlignment="1">
      <alignment horizontal="left" vertical="center" wrapText="1"/>
    </xf>
    <xf numFmtId="0" fontId="40" fillId="0" borderId="20" xfId="0" applyFont="1" applyBorder="1" applyAlignment="1">
      <alignment horizontal="left" vertical="center" wrapText="1"/>
    </xf>
    <xf numFmtId="0" fontId="40" fillId="0" borderId="38"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4" fillId="5" borderId="78"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44" fillId="5" borderId="79" xfId="0" applyFont="1" applyFill="1" applyBorder="1" applyAlignment="1">
      <alignment horizontal="center" vertical="center" wrapText="1"/>
    </xf>
    <xf numFmtId="38" fontId="40" fillId="0" borderId="47" xfId="0" applyNumberFormat="1" applyFont="1" applyBorder="1" applyAlignment="1">
      <alignment horizontal="left" vertical="center" wrapText="1"/>
    </xf>
    <xf numFmtId="0" fontId="40" fillId="0" borderId="90" xfId="0" applyFont="1" applyBorder="1" applyAlignment="1">
      <alignment horizontal="left" vertical="center" wrapText="1"/>
    </xf>
    <xf numFmtId="0" fontId="40" fillId="0" borderId="10" xfId="0" applyFont="1" applyBorder="1" applyAlignment="1">
      <alignment horizontal="left" vertical="center" wrapText="1"/>
    </xf>
    <xf numFmtId="0" fontId="40" fillId="0" borderId="47" xfId="0" applyFont="1" applyBorder="1" applyAlignment="1">
      <alignment horizontal="left" vertical="center" wrapText="1"/>
    </xf>
    <xf numFmtId="0" fontId="43" fillId="2" borderId="74" xfId="0" applyFont="1" applyFill="1" applyBorder="1" applyAlignment="1">
      <alignment horizontal="center" vertical="center" wrapText="1" shrinkToFit="1"/>
    </xf>
    <xf numFmtId="0" fontId="43" fillId="2" borderId="75" xfId="0" applyFont="1" applyFill="1" applyBorder="1" applyAlignment="1">
      <alignment horizontal="center" vertical="center" shrinkToFit="1"/>
    </xf>
    <xf numFmtId="0" fontId="43" fillId="2" borderId="71" xfId="0" applyFont="1" applyFill="1" applyBorder="1" applyAlignment="1">
      <alignment horizontal="center" vertical="center" wrapText="1" shrinkToFit="1"/>
    </xf>
    <xf numFmtId="0" fontId="43" fillId="2" borderId="19" xfId="0" applyFont="1" applyFill="1" applyBorder="1" applyAlignment="1">
      <alignment horizontal="center" vertical="center" shrinkToFit="1"/>
    </xf>
    <xf numFmtId="11" fontId="40" fillId="2" borderId="76" xfId="35" applyNumberFormat="1" applyFont="1" applyFill="1" applyBorder="1" applyAlignment="1">
      <alignment horizontal="center" vertical="center" wrapText="1" shrinkToFit="1"/>
    </xf>
    <xf numFmtId="0" fontId="0" fillId="2" borderId="77" xfId="0" applyFont="1" applyFill="1" applyBorder="1" applyAlignment="1">
      <alignment horizontal="center" vertical="center" wrapText="1" shrinkToFit="1"/>
    </xf>
    <xf numFmtId="0" fontId="40" fillId="13" borderId="38" xfId="0" applyFont="1" applyFill="1" applyBorder="1" applyAlignment="1">
      <alignment horizontal="left" vertical="center" wrapText="1"/>
    </xf>
    <xf numFmtId="0" fontId="40" fillId="13" borderId="54" xfId="0" applyFont="1" applyFill="1" applyBorder="1" applyAlignment="1">
      <alignment horizontal="left" vertical="center" wrapText="1"/>
    </xf>
    <xf numFmtId="0" fontId="40" fillId="13" borderId="20" xfId="0" applyFont="1" applyFill="1" applyBorder="1" applyAlignment="1">
      <alignment horizontal="left" vertical="center" wrapText="1"/>
    </xf>
    <xf numFmtId="0" fontId="40" fillId="2" borderId="86" xfId="0" applyFont="1" applyFill="1" applyBorder="1" applyAlignment="1">
      <alignment horizontal="center" vertical="center" wrapText="1" shrinkToFit="1"/>
    </xf>
    <xf numFmtId="0" fontId="40" fillId="2" borderId="63" xfId="0" applyFont="1" applyFill="1" applyBorder="1" applyAlignment="1">
      <alignment horizontal="center" vertical="center" wrapText="1" shrinkToFit="1"/>
    </xf>
    <xf numFmtId="0" fontId="40" fillId="2" borderId="87" xfId="0" applyFont="1" applyFill="1" applyBorder="1" applyAlignment="1">
      <alignment horizontal="center" vertical="center" wrapText="1" shrinkToFit="1"/>
    </xf>
    <xf numFmtId="0" fontId="40" fillId="0" borderId="38" xfId="0" applyFont="1" applyFill="1" applyBorder="1" applyAlignment="1">
      <alignment horizontal="left" vertical="center" wrapText="1"/>
    </xf>
    <xf numFmtId="0" fontId="40" fillId="0" borderId="54" xfId="0" applyFont="1" applyFill="1" applyBorder="1" applyAlignment="1">
      <alignment horizontal="left" vertical="center" wrapText="1"/>
    </xf>
    <xf numFmtId="0" fontId="40" fillId="0" borderId="20" xfId="0" applyFont="1" applyFill="1" applyBorder="1" applyAlignment="1">
      <alignment horizontal="left" vertical="center" wrapText="1"/>
    </xf>
    <xf numFmtId="38" fontId="40" fillId="0" borderId="47" xfId="0" applyNumberFormat="1" applyFont="1" applyBorder="1" applyAlignment="1">
      <alignment vertical="center" wrapText="1"/>
    </xf>
    <xf numFmtId="38" fontId="40" fillId="0" borderId="90" xfId="0" applyNumberFormat="1" applyFont="1" applyBorder="1" applyAlignment="1">
      <alignment vertical="center" wrapText="1"/>
    </xf>
    <xf numFmtId="0" fontId="40" fillId="0" borderId="10" xfId="0" applyFont="1" applyBorder="1" applyAlignment="1">
      <alignment vertical="center" wrapText="1"/>
    </xf>
    <xf numFmtId="38" fontId="40" fillId="0" borderId="10" xfId="0" applyNumberFormat="1" applyFont="1" applyBorder="1" applyAlignment="1">
      <alignment horizontal="left" vertical="center" wrapText="1"/>
    </xf>
    <xf numFmtId="11" fontId="40" fillId="0" borderId="47" xfId="35" applyNumberFormat="1" applyFont="1" applyFill="1" applyBorder="1" applyAlignment="1">
      <alignment horizontal="left" vertical="center" wrapText="1" shrinkToFit="1"/>
    </xf>
    <xf numFmtId="11" fontId="40" fillId="0" borderId="90" xfId="35" applyNumberFormat="1" applyFont="1" applyFill="1" applyBorder="1" applyAlignment="1">
      <alignment horizontal="left" vertical="center" wrapText="1" shrinkToFit="1"/>
    </xf>
    <xf numFmtId="11" fontId="40" fillId="0" borderId="10" xfId="35" applyNumberFormat="1" applyFont="1" applyFill="1" applyBorder="1" applyAlignment="1">
      <alignment horizontal="left" vertical="center" wrapText="1" shrinkToFit="1"/>
    </xf>
    <xf numFmtId="38" fontId="40" fillId="0" borderId="90" xfId="0" applyNumberFormat="1" applyFont="1" applyBorder="1" applyAlignment="1">
      <alignment horizontal="left" vertical="center" wrapText="1"/>
    </xf>
    <xf numFmtId="38" fontId="40" fillId="0" borderId="3" xfId="0" applyNumberFormat="1" applyFont="1" applyBorder="1" applyAlignment="1">
      <alignment horizontal="left" vertical="center" wrapText="1"/>
    </xf>
    <xf numFmtId="191" fontId="91" fillId="0" borderId="3" xfId="0" applyNumberFormat="1" applyFont="1" applyBorder="1" applyAlignment="1">
      <alignment horizontal="center" vertical="center" wrapText="1"/>
    </xf>
    <xf numFmtId="38" fontId="40" fillId="0" borderId="38" xfId="0" applyNumberFormat="1" applyFont="1" applyBorder="1" applyAlignment="1">
      <alignment horizontal="left" vertical="center" wrapText="1"/>
    </xf>
    <xf numFmtId="38" fontId="40" fillId="0" borderId="54" xfId="0" applyNumberFormat="1" applyFont="1" applyBorder="1" applyAlignment="1">
      <alignment horizontal="left" vertical="center" wrapText="1"/>
    </xf>
    <xf numFmtId="38" fontId="40" fillId="0" borderId="20" xfId="0" applyNumberFormat="1" applyFont="1" applyBorder="1" applyAlignment="1">
      <alignment horizontal="left" vertical="center" wrapText="1"/>
    </xf>
    <xf numFmtId="191" fontId="40" fillId="0" borderId="38" xfId="0" applyNumberFormat="1" applyFont="1" applyBorder="1" applyAlignment="1">
      <alignment horizontal="center" vertical="center" wrapText="1"/>
    </xf>
    <xf numFmtId="0" fontId="40" fillId="12" borderId="44" xfId="0" applyFont="1" applyFill="1" applyBorder="1" applyAlignment="1">
      <alignment horizontal="left" vertical="center" wrapText="1"/>
    </xf>
    <xf numFmtId="0" fontId="40" fillId="12" borderId="2" xfId="0" applyFont="1" applyFill="1" applyBorder="1" applyAlignment="1">
      <alignment horizontal="left" vertical="center" wrapText="1"/>
    </xf>
    <xf numFmtId="0" fontId="40" fillId="12" borderId="65" xfId="0" applyFont="1" applyFill="1" applyBorder="1" applyAlignment="1">
      <alignment horizontal="left" vertical="center" wrapText="1"/>
    </xf>
    <xf numFmtId="0" fontId="40" fillId="0" borderId="47" xfId="0" applyFont="1" applyBorder="1" applyAlignment="1">
      <alignment vertical="center" wrapText="1"/>
    </xf>
    <xf numFmtId="0" fontId="44" fillId="5" borderId="38" xfId="0" applyFont="1" applyFill="1" applyBorder="1" applyAlignment="1">
      <alignment horizontal="center" vertical="center" wrapText="1"/>
    </xf>
    <xf numFmtId="0" fontId="44" fillId="5" borderId="20" xfId="0" applyFont="1" applyFill="1" applyBorder="1" applyAlignment="1">
      <alignment horizontal="center" vertical="center" wrapText="1"/>
    </xf>
    <xf numFmtId="38" fontId="40" fillId="0" borderId="55" xfId="0" applyNumberFormat="1" applyFont="1" applyBorder="1" applyAlignment="1">
      <alignment horizontal="left" vertical="center" wrapText="1"/>
    </xf>
    <xf numFmtId="38" fontId="40" fillId="0" borderId="50" xfId="0" applyNumberFormat="1" applyFont="1" applyBorder="1" applyAlignment="1">
      <alignment horizontal="left" vertical="center" wrapText="1"/>
    </xf>
    <xf numFmtId="0" fontId="40" fillId="2" borderId="33" xfId="97" applyFont="1" applyFill="1" applyBorder="1" applyAlignment="1">
      <alignment horizontal="center" vertical="center" wrapText="1"/>
    </xf>
    <xf numFmtId="0" fontId="40" fillId="2" borderId="1" xfId="97" applyFont="1" applyFill="1" applyBorder="1" applyAlignment="1">
      <alignment horizontal="center" vertical="center" wrapText="1"/>
    </xf>
    <xf numFmtId="0" fontId="40" fillId="2" borderId="31" xfId="97" applyFont="1" applyFill="1" applyBorder="1" applyAlignment="1">
      <alignment horizontal="center" vertical="center" wrapText="1"/>
    </xf>
    <xf numFmtId="0" fontId="15" fillId="0" borderId="0" xfId="97" applyFont="1" applyFill="1" applyBorder="1" applyAlignment="1">
      <alignment horizontal="left" vertical="center" wrapText="1"/>
    </xf>
    <xf numFmtId="0" fontId="15" fillId="0" borderId="0" xfId="97" applyFont="1" applyFill="1" applyBorder="1" applyAlignment="1">
      <alignment horizontal="left" vertical="center"/>
    </xf>
    <xf numFmtId="0" fontId="53" fillId="0" borderId="0" xfId="97" applyFont="1" applyFill="1" applyAlignment="1">
      <alignment horizontal="center" vertical="center"/>
    </xf>
    <xf numFmtId="0" fontId="54" fillId="0" borderId="0" xfId="97" applyFont="1" applyBorder="1" applyAlignment="1">
      <alignment horizontal="center" vertical="center"/>
    </xf>
    <xf numFmtId="0" fontId="54" fillId="0" borderId="0" xfId="97" applyFont="1" applyFill="1" applyBorder="1" applyAlignment="1">
      <alignment horizontal="center" vertical="center" wrapText="1"/>
    </xf>
  </cellXfs>
  <cellStyles count="184">
    <cellStyle name="=E:\WINNT\SYSTEM32\COMMAND.COM" xfId="1" xr:uid="{00000000-0005-0000-0000-000000000000}"/>
    <cellStyle name="Calc Currency (0)" xfId="2" xr:uid="{00000000-0005-0000-0000-000001000000}"/>
    <cellStyle name="Comma [0]_Full Year FY96" xfId="3" xr:uid="{00000000-0005-0000-0000-000002000000}"/>
    <cellStyle name="Comma_Full Year FY96" xfId="4" xr:uid="{00000000-0005-0000-0000-000003000000}"/>
    <cellStyle name="Currency [0]_Full Year FY96" xfId="5" xr:uid="{00000000-0005-0000-0000-000004000000}"/>
    <cellStyle name="Currency_Full Year FY96" xfId="6" xr:uid="{00000000-0005-0000-0000-000005000000}"/>
    <cellStyle name="entry" xfId="7" xr:uid="{00000000-0005-0000-0000-000006000000}"/>
    <cellStyle name="Grey" xfId="8" xr:uid="{00000000-0005-0000-0000-000007000000}"/>
    <cellStyle name="Header1" xfId="9" xr:uid="{00000000-0005-0000-0000-000008000000}"/>
    <cellStyle name="Header2" xfId="10" xr:uid="{00000000-0005-0000-0000-000009000000}"/>
    <cellStyle name="Input [yellow]" xfId="11" xr:uid="{00000000-0005-0000-0000-00000A000000}"/>
    <cellStyle name="KWE標準" xfId="12" xr:uid="{00000000-0005-0000-0000-00000B000000}"/>
    <cellStyle name="MPｽﾀｲﾙ" xfId="13" xr:uid="{00000000-0005-0000-0000-00000C000000}"/>
    <cellStyle name="Normal - Style1" xfId="14" xr:uid="{00000000-0005-0000-0000-00000D000000}"/>
    <cellStyle name="Normal_#18-Internet" xfId="15" xr:uid="{00000000-0005-0000-0000-00000E000000}"/>
    <cellStyle name="oft Excel]_x000d__x000a_Comment=open=/f Ｅ指弾ａEＦ・、ユーザー弾義外数Ｅ外数貼Ｆ付ａP・・覧・登録ａEＦａ}・Ｂ・ａ痰UａE。_x000d__x000a_Maximized" xfId="16" xr:uid="{00000000-0005-0000-0000-00000F000000}"/>
    <cellStyle name="oft Excel]_x000d__x000a_Comment=open=/f を指定すると、ユーザー定義関数を関数貼り付けの一覧に登録することができます。_x000d__x000a_Maximized" xfId="17" xr:uid="{00000000-0005-0000-0000-000010000000}"/>
    <cellStyle name="Percent [2]" xfId="18" xr:uid="{00000000-0005-0000-0000-000011000000}"/>
    <cellStyle name="price" xfId="19" xr:uid="{00000000-0005-0000-0000-000012000000}"/>
    <cellStyle name="PSChar" xfId="20" xr:uid="{00000000-0005-0000-0000-000013000000}"/>
    <cellStyle name="PSHeading" xfId="21" xr:uid="{00000000-0005-0000-0000-000014000000}"/>
    <cellStyle name="revised" xfId="22" xr:uid="{00000000-0005-0000-0000-000015000000}"/>
    <cellStyle name="section" xfId="23" xr:uid="{00000000-0005-0000-0000-000016000000}"/>
    <cellStyle name="title" xfId="24" xr:uid="{00000000-0005-0000-0000-000017000000}"/>
    <cellStyle name="TOM_1" xfId="25" xr:uid="{00000000-0005-0000-0000-000018000000}"/>
    <cellStyle name="スタイル 1" xfId="26" xr:uid="{00000000-0005-0000-0000-000019000000}"/>
    <cellStyle name="パーセント" xfId="27" builtinId="5"/>
    <cellStyle name="パーセント 2" xfId="28" xr:uid="{00000000-0005-0000-0000-00001B000000}"/>
    <cellStyle name="パーセント 3" xfId="29" xr:uid="{00000000-0005-0000-0000-00001C000000}"/>
    <cellStyle name="パーセント 4" xfId="30" xr:uid="{00000000-0005-0000-0000-00001D000000}"/>
    <cellStyle name="ハイパーリンク" xfId="31" builtinId="8"/>
    <cellStyle name="_x001d_・_x000c_B・5U_x0001_ﾆ_x0016_N5_x0007__x0001__x0001_" xfId="32" xr:uid="{00000000-0005-0000-0000-00001F000000}"/>
    <cellStyle name="桁蟻唇Ｆ [0.00]_laroux" xfId="33" xr:uid="{00000000-0005-0000-0000-000020000000}"/>
    <cellStyle name="桁蟻唇Ｆ_laroux" xfId="34" xr:uid="{00000000-0005-0000-0000-000021000000}"/>
    <cellStyle name="桁区切り" xfId="35" builtinId="6"/>
    <cellStyle name="桁区切り 2" xfId="36" xr:uid="{00000000-0005-0000-0000-000023000000}"/>
    <cellStyle name="桁区切り 2 14" xfId="183" xr:uid="{00000000-0005-0000-0000-000024000000}"/>
    <cellStyle name="桁区切り 3" xfId="37" xr:uid="{00000000-0005-0000-0000-000025000000}"/>
    <cellStyle name="桁区切り 4" xfId="38" xr:uid="{00000000-0005-0000-0000-000026000000}"/>
    <cellStyle name="桁区切り 5" xfId="39" xr:uid="{00000000-0005-0000-0000-000027000000}"/>
    <cellStyle name="人月" xfId="40" xr:uid="{00000000-0005-0000-0000-000028000000}"/>
    <cellStyle name="脱浦 [0.00]_・山碓所・" xfId="41" xr:uid="{00000000-0005-0000-0000-000029000000}"/>
    <cellStyle name="脱浦_・山碓所・" xfId="42" xr:uid="{00000000-0005-0000-0000-00002A000000}"/>
    <cellStyle name="標準" xfId="0" builtinId="0"/>
    <cellStyle name="標準 10" xfId="43" xr:uid="{00000000-0005-0000-0000-00002C000000}"/>
    <cellStyle name="標準 11" xfId="44" xr:uid="{00000000-0005-0000-0000-00002D000000}"/>
    <cellStyle name="標準 12" xfId="45" xr:uid="{00000000-0005-0000-0000-00002E000000}"/>
    <cellStyle name="標準 13" xfId="46" xr:uid="{00000000-0005-0000-0000-00002F000000}"/>
    <cellStyle name="標準 14" xfId="47" xr:uid="{00000000-0005-0000-0000-000030000000}"/>
    <cellStyle name="標準 15" xfId="48" xr:uid="{00000000-0005-0000-0000-000031000000}"/>
    <cellStyle name="標準 16" xfId="49" xr:uid="{00000000-0005-0000-0000-000032000000}"/>
    <cellStyle name="標準 17" xfId="50" xr:uid="{00000000-0005-0000-0000-000033000000}"/>
    <cellStyle name="標準 18" xfId="51" xr:uid="{00000000-0005-0000-0000-000034000000}"/>
    <cellStyle name="標準 19" xfId="52" xr:uid="{00000000-0005-0000-0000-000035000000}"/>
    <cellStyle name="標準 2" xfId="53" xr:uid="{00000000-0005-0000-0000-000036000000}"/>
    <cellStyle name="標準 2 10" xfId="54" xr:uid="{00000000-0005-0000-0000-000037000000}"/>
    <cellStyle name="標準 2 11" xfId="55" xr:uid="{00000000-0005-0000-0000-000038000000}"/>
    <cellStyle name="標準 2 12" xfId="56" xr:uid="{00000000-0005-0000-0000-000039000000}"/>
    <cellStyle name="標準 2 13" xfId="57" xr:uid="{00000000-0005-0000-0000-00003A000000}"/>
    <cellStyle name="標準 2 14" xfId="58" xr:uid="{00000000-0005-0000-0000-00003B000000}"/>
    <cellStyle name="標準 2 15" xfId="59" xr:uid="{00000000-0005-0000-0000-00003C000000}"/>
    <cellStyle name="標準 2 16" xfId="60" xr:uid="{00000000-0005-0000-0000-00003D000000}"/>
    <cellStyle name="標準 2 17" xfId="61" xr:uid="{00000000-0005-0000-0000-00003E000000}"/>
    <cellStyle name="標準 2 18" xfId="62" xr:uid="{00000000-0005-0000-0000-00003F000000}"/>
    <cellStyle name="標準 2 19" xfId="63" xr:uid="{00000000-0005-0000-0000-000040000000}"/>
    <cellStyle name="標準 2 2" xfId="64" xr:uid="{00000000-0005-0000-0000-000041000000}"/>
    <cellStyle name="標準 2 20" xfId="65" xr:uid="{00000000-0005-0000-0000-000042000000}"/>
    <cellStyle name="標準 2 21" xfId="66" xr:uid="{00000000-0005-0000-0000-000043000000}"/>
    <cellStyle name="標準 2 22" xfId="67" xr:uid="{00000000-0005-0000-0000-000044000000}"/>
    <cellStyle name="標準 2 23" xfId="68" xr:uid="{00000000-0005-0000-0000-000045000000}"/>
    <cellStyle name="標準 2 24" xfId="69" xr:uid="{00000000-0005-0000-0000-000046000000}"/>
    <cellStyle name="標準 2 25" xfId="70" xr:uid="{00000000-0005-0000-0000-000047000000}"/>
    <cellStyle name="標準 2 26" xfId="71" xr:uid="{00000000-0005-0000-0000-000048000000}"/>
    <cellStyle name="標準 2 27" xfId="72" xr:uid="{00000000-0005-0000-0000-000049000000}"/>
    <cellStyle name="標準 2 28" xfId="73" xr:uid="{00000000-0005-0000-0000-00004A000000}"/>
    <cellStyle name="標準 2 29" xfId="74" xr:uid="{00000000-0005-0000-0000-00004B000000}"/>
    <cellStyle name="標準 2 3" xfId="75" xr:uid="{00000000-0005-0000-0000-00004C000000}"/>
    <cellStyle name="標準 2 30" xfId="76" xr:uid="{00000000-0005-0000-0000-00004D000000}"/>
    <cellStyle name="標準 2 31" xfId="77" xr:uid="{00000000-0005-0000-0000-00004E000000}"/>
    <cellStyle name="標準 2 32" xfId="78" xr:uid="{00000000-0005-0000-0000-00004F000000}"/>
    <cellStyle name="標準 2 33" xfId="79" xr:uid="{00000000-0005-0000-0000-000050000000}"/>
    <cellStyle name="標準 2 34" xfId="80" xr:uid="{00000000-0005-0000-0000-000051000000}"/>
    <cellStyle name="標準 2 35" xfId="81" xr:uid="{00000000-0005-0000-0000-000052000000}"/>
    <cellStyle name="標準 2 36" xfId="82" xr:uid="{00000000-0005-0000-0000-000053000000}"/>
    <cellStyle name="標準 2 37" xfId="83" xr:uid="{00000000-0005-0000-0000-000054000000}"/>
    <cellStyle name="標準 2 38" xfId="84" xr:uid="{00000000-0005-0000-0000-000055000000}"/>
    <cellStyle name="標準 2 39" xfId="85" xr:uid="{00000000-0005-0000-0000-000056000000}"/>
    <cellStyle name="標準 2 4" xfId="86" xr:uid="{00000000-0005-0000-0000-000057000000}"/>
    <cellStyle name="標準 2 40" xfId="87" xr:uid="{00000000-0005-0000-0000-000058000000}"/>
    <cellStyle name="標準 2 41" xfId="88" xr:uid="{00000000-0005-0000-0000-000059000000}"/>
    <cellStyle name="標準 2 42" xfId="89" xr:uid="{00000000-0005-0000-0000-00005A000000}"/>
    <cellStyle name="標準 2 43" xfId="90" xr:uid="{00000000-0005-0000-0000-00005B000000}"/>
    <cellStyle name="標準 2 5" xfId="91" xr:uid="{00000000-0005-0000-0000-00005C000000}"/>
    <cellStyle name="標準 2 6" xfId="92" xr:uid="{00000000-0005-0000-0000-00005D000000}"/>
    <cellStyle name="標準 2 7" xfId="93" xr:uid="{00000000-0005-0000-0000-00005E000000}"/>
    <cellStyle name="標準 2 8" xfId="94" xr:uid="{00000000-0005-0000-0000-00005F000000}"/>
    <cellStyle name="標準 2 9" xfId="95" xr:uid="{00000000-0005-0000-0000-000060000000}"/>
    <cellStyle name="標準 2_CFP検証申請書（フォーマット）" xfId="96" xr:uid="{00000000-0005-0000-0000-000061000000}"/>
    <cellStyle name="標準 2_ＣＦＰ検証申請書（改案）_2" xfId="97" xr:uid="{00000000-0005-0000-0000-000062000000}"/>
    <cellStyle name="標準 20" xfId="98" xr:uid="{00000000-0005-0000-0000-000063000000}"/>
    <cellStyle name="標準 21" xfId="99" xr:uid="{00000000-0005-0000-0000-000064000000}"/>
    <cellStyle name="標準 22" xfId="100" xr:uid="{00000000-0005-0000-0000-000065000000}"/>
    <cellStyle name="標準 23" xfId="101" xr:uid="{00000000-0005-0000-0000-000066000000}"/>
    <cellStyle name="標準 24" xfId="102" xr:uid="{00000000-0005-0000-0000-000067000000}"/>
    <cellStyle name="標準 25" xfId="103" xr:uid="{00000000-0005-0000-0000-000068000000}"/>
    <cellStyle name="標準 26" xfId="104" xr:uid="{00000000-0005-0000-0000-000069000000}"/>
    <cellStyle name="標準 27" xfId="105" xr:uid="{00000000-0005-0000-0000-00006A000000}"/>
    <cellStyle name="標準 28" xfId="106" xr:uid="{00000000-0005-0000-0000-00006B000000}"/>
    <cellStyle name="標準 29" xfId="107" xr:uid="{00000000-0005-0000-0000-00006C000000}"/>
    <cellStyle name="標準 3" xfId="108" xr:uid="{00000000-0005-0000-0000-00006D000000}"/>
    <cellStyle name="標準 3 2" xfId="109" xr:uid="{00000000-0005-0000-0000-00006E000000}"/>
    <cellStyle name="標準 3 2 10" xfId="110" xr:uid="{00000000-0005-0000-0000-00006F000000}"/>
    <cellStyle name="標準 3 2 11" xfId="111" xr:uid="{00000000-0005-0000-0000-000070000000}"/>
    <cellStyle name="標準 3 2 12" xfId="112" xr:uid="{00000000-0005-0000-0000-000071000000}"/>
    <cellStyle name="標準 3 2 13" xfId="113" xr:uid="{00000000-0005-0000-0000-000072000000}"/>
    <cellStyle name="標準 3 2 14" xfId="114" xr:uid="{00000000-0005-0000-0000-000073000000}"/>
    <cellStyle name="標準 3 2 15" xfId="115" xr:uid="{00000000-0005-0000-0000-000074000000}"/>
    <cellStyle name="標準 3 2 16" xfId="116" xr:uid="{00000000-0005-0000-0000-000075000000}"/>
    <cellStyle name="標準 3 2 17" xfId="117" xr:uid="{00000000-0005-0000-0000-000076000000}"/>
    <cellStyle name="標準 3 2 18" xfId="118" xr:uid="{00000000-0005-0000-0000-000077000000}"/>
    <cellStyle name="標準 3 2 19" xfId="119" xr:uid="{00000000-0005-0000-0000-000078000000}"/>
    <cellStyle name="標準 3 2 2" xfId="120" xr:uid="{00000000-0005-0000-0000-000079000000}"/>
    <cellStyle name="標準 3 2 20" xfId="121" xr:uid="{00000000-0005-0000-0000-00007A000000}"/>
    <cellStyle name="標準 3 2 21" xfId="122" xr:uid="{00000000-0005-0000-0000-00007B000000}"/>
    <cellStyle name="標準 3 2 22" xfId="123" xr:uid="{00000000-0005-0000-0000-00007C000000}"/>
    <cellStyle name="標準 3 2 23" xfId="124" xr:uid="{00000000-0005-0000-0000-00007D000000}"/>
    <cellStyle name="標準 3 2 24" xfId="125" xr:uid="{00000000-0005-0000-0000-00007E000000}"/>
    <cellStyle name="標準 3 2 25" xfId="126" xr:uid="{00000000-0005-0000-0000-00007F000000}"/>
    <cellStyle name="標準 3 2 26" xfId="127" xr:uid="{00000000-0005-0000-0000-000080000000}"/>
    <cellStyle name="標準 3 2 27" xfId="128" xr:uid="{00000000-0005-0000-0000-000081000000}"/>
    <cellStyle name="標準 3 2 28" xfId="129" xr:uid="{00000000-0005-0000-0000-000082000000}"/>
    <cellStyle name="標準 3 2 29" xfId="130" xr:uid="{00000000-0005-0000-0000-000083000000}"/>
    <cellStyle name="標準 3 2 3" xfId="131" xr:uid="{00000000-0005-0000-0000-000084000000}"/>
    <cellStyle name="標準 3 2 30" xfId="132" xr:uid="{00000000-0005-0000-0000-000085000000}"/>
    <cellStyle name="標準 3 2 31" xfId="133" xr:uid="{00000000-0005-0000-0000-000086000000}"/>
    <cellStyle name="標準 3 2 32" xfId="134" xr:uid="{00000000-0005-0000-0000-000087000000}"/>
    <cellStyle name="標準 3 2 33" xfId="135" xr:uid="{00000000-0005-0000-0000-000088000000}"/>
    <cellStyle name="標準 3 2 34" xfId="136" xr:uid="{00000000-0005-0000-0000-000089000000}"/>
    <cellStyle name="標準 3 2 35" xfId="137" xr:uid="{00000000-0005-0000-0000-00008A000000}"/>
    <cellStyle name="標準 3 2 36" xfId="138" xr:uid="{00000000-0005-0000-0000-00008B000000}"/>
    <cellStyle name="標準 3 2 37" xfId="139" xr:uid="{00000000-0005-0000-0000-00008C000000}"/>
    <cellStyle name="標準 3 2 38" xfId="140" xr:uid="{00000000-0005-0000-0000-00008D000000}"/>
    <cellStyle name="標準 3 2 39" xfId="141" xr:uid="{00000000-0005-0000-0000-00008E000000}"/>
    <cellStyle name="標準 3 2 4" xfId="142" xr:uid="{00000000-0005-0000-0000-00008F000000}"/>
    <cellStyle name="標準 3 2 40" xfId="143" xr:uid="{00000000-0005-0000-0000-000090000000}"/>
    <cellStyle name="標準 3 2 5" xfId="144" xr:uid="{00000000-0005-0000-0000-000091000000}"/>
    <cellStyle name="標準 3 2 6" xfId="145" xr:uid="{00000000-0005-0000-0000-000092000000}"/>
    <cellStyle name="標準 3 2 7" xfId="146" xr:uid="{00000000-0005-0000-0000-000093000000}"/>
    <cellStyle name="標準 3 2 8" xfId="147" xr:uid="{00000000-0005-0000-0000-000094000000}"/>
    <cellStyle name="標準 3 2 9" xfId="148" xr:uid="{00000000-0005-0000-0000-000095000000}"/>
    <cellStyle name="標準 3 3" xfId="149" xr:uid="{00000000-0005-0000-0000-000096000000}"/>
    <cellStyle name="標準 3 4" xfId="150" xr:uid="{00000000-0005-0000-0000-000097000000}"/>
    <cellStyle name="標準 30" xfId="151" xr:uid="{00000000-0005-0000-0000-000098000000}"/>
    <cellStyle name="標準 31" xfId="152" xr:uid="{00000000-0005-0000-0000-000099000000}"/>
    <cellStyle name="標準 32" xfId="153" xr:uid="{00000000-0005-0000-0000-00009A000000}"/>
    <cellStyle name="標準 33" xfId="154" xr:uid="{00000000-0005-0000-0000-00009B000000}"/>
    <cellStyle name="標準 34" xfId="155" xr:uid="{00000000-0005-0000-0000-00009C000000}"/>
    <cellStyle name="標準 35" xfId="156" xr:uid="{00000000-0005-0000-0000-00009D000000}"/>
    <cellStyle name="標準 36" xfId="157" xr:uid="{00000000-0005-0000-0000-00009E000000}"/>
    <cellStyle name="標準 37" xfId="158" xr:uid="{00000000-0005-0000-0000-00009F000000}"/>
    <cellStyle name="標準 38" xfId="159" xr:uid="{00000000-0005-0000-0000-0000A0000000}"/>
    <cellStyle name="標準 39" xfId="160" xr:uid="{00000000-0005-0000-0000-0000A1000000}"/>
    <cellStyle name="標準 4" xfId="161" xr:uid="{00000000-0005-0000-0000-0000A2000000}"/>
    <cellStyle name="標準 40" xfId="162" xr:uid="{00000000-0005-0000-0000-0000A3000000}"/>
    <cellStyle name="標準 41" xfId="163" xr:uid="{00000000-0005-0000-0000-0000A4000000}"/>
    <cellStyle name="標準 42" xfId="164" xr:uid="{00000000-0005-0000-0000-0000A5000000}"/>
    <cellStyle name="標準 43" xfId="165" xr:uid="{00000000-0005-0000-0000-0000A6000000}"/>
    <cellStyle name="標準 44" xfId="166" xr:uid="{00000000-0005-0000-0000-0000A7000000}"/>
    <cellStyle name="標準 45" xfId="167" xr:uid="{00000000-0005-0000-0000-0000A8000000}"/>
    <cellStyle name="標準 46" xfId="168" xr:uid="{00000000-0005-0000-0000-0000A9000000}"/>
    <cellStyle name="標準 47" xfId="169" xr:uid="{00000000-0005-0000-0000-0000AA000000}"/>
    <cellStyle name="標準 48" xfId="170" xr:uid="{00000000-0005-0000-0000-0000AB000000}"/>
    <cellStyle name="標準 49" xfId="171" xr:uid="{00000000-0005-0000-0000-0000AC000000}"/>
    <cellStyle name="標準 5" xfId="172" xr:uid="{00000000-0005-0000-0000-0000AD000000}"/>
    <cellStyle name="標準 50" xfId="173" xr:uid="{00000000-0005-0000-0000-0000AE000000}"/>
    <cellStyle name="標準 51" xfId="174" xr:uid="{00000000-0005-0000-0000-0000AF000000}"/>
    <cellStyle name="標準 52" xfId="181" xr:uid="{00000000-0005-0000-0000-0000B0000000}"/>
    <cellStyle name="標準 53" xfId="182" xr:uid="{00000000-0005-0000-0000-0000B1000000}"/>
    <cellStyle name="標準 6" xfId="175" xr:uid="{00000000-0005-0000-0000-0000B2000000}"/>
    <cellStyle name="標準 7" xfId="176" xr:uid="{00000000-0005-0000-0000-0000B3000000}"/>
    <cellStyle name="標準 8" xfId="177" xr:uid="{00000000-0005-0000-0000-0000B4000000}"/>
    <cellStyle name="標準 9" xfId="178" xr:uid="{00000000-0005-0000-0000-0000B5000000}"/>
    <cellStyle name="予算比 青" xfId="179" xr:uid="{00000000-0005-0000-0000-0000B6000000}"/>
    <cellStyle name="予算比 赤" xfId="180" xr:uid="{00000000-0005-0000-0000-0000B7000000}"/>
  </cellStyles>
  <dxfs count="42">
    <dxf>
      <font>
        <color auto="1"/>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0"/>
        </patternFill>
      </fill>
    </dxf>
    <dxf>
      <font>
        <color auto="1"/>
      </font>
      <fill>
        <patternFill patternType="solid">
          <bgColor rgb="FFFFFF99"/>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patternType="none">
          <bgColor auto="1"/>
        </patternFill>
      </fill>
    </dxf>
    <dxf>
      <font>
        <color auto="1"/>
      </font>
    </dxf>
    <dxf>
      <font>
        <color auto="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bgColor theme="0" tint="-0.14996795556505021"/>
        </patternFill>
      </fill>
    </dxf>
    <dxf>
      <fill>
        <patternFill>
          <bgColor rgb="FFC00000"/>
        </patternFill>
      </fill>
    </dxf>
    <dxf>
      <font>
        <color auto="1"/>
      </font>
      <fill>
        <patternFill patternType="solid">
          <bgColor theme="0"/>
        </patternFill>
      </fill>
    </dxf>
  </dxfs>
  <tableStyles count="0" defaultTableStyle="TableStyleMedium9" defaultPivotStyle="PivotStyleLight16"/>
  <colors>
    <mruColors>
      <color rgb="FF0000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624818432735998E-2"/>
          <c:y val="6.2500423858126208E-2"/>
          <c:w val="0.35014101382236362"/>
          <c:h val="0.8680614424739751"/>
        </c:manualLayout>
      </c:layout>
      <c:doughnut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643-4C60-A271-61715AB1A75F}"/>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2-7643-4C60-A271-61715AB1A75F}"/>
              </c:ext>
            </c:extLst>
          </c:dPt>
          <c:dPt>
            <c:idx val="2"/>
            <c:bubble3D val="0"/>
            <c:spPr>
              <a:solidFill>
                <a:srgbClr val="CCFFCC"/>
              </a:solidFill>
              <a:ln w="12700">
                <a:solidFill>
                  <a:srgbClr val="000000"/>
                </a:solidFill>
                <a:prstDash val="solid"/>
              </a:ln>
            </c:spPr>
            <c:extLst>
              <c:ext xmlns:c16="http://schemas.microsoft.com/office/drawing/2014/chart" uri="{C3380CC4-5D6E-409C-BE32-E72D297353CC}">
                <c16:uniqueId val="{00000004-7643-4C60-A271-61715AB1A75F}"/>
              </c:ext>
            </c:extLst>
          </c:dPt>
          <c:dPt>
            <c:idx val="3"/>
            <c:bubble3D val="0"/>
            <c:spPr>
              <a:solidFill>
                <a:srgbClr val="CC99FF"/>
              </a:solidFill>
              <a:ln w="12700">
                <a:solidFill>
                  <a:srgbClr val="000000"/>
                </a:solidFill>
                <a:prstDash val="solid"/>
              </a:ln>
            </c:spPr>
            <c:extLst>
              <c:ext xmlns:c16="http://schemas.microsoft.com/office/drawing/2014/chart" uri="{C3380CC4-5D6E-409C-BE32-E72D297353CC}">
                <c16:uniqueId val="{00000006-7643-4C60-A271-61715AB1A75F}"/>
              </c:ext>
            </c:extLst>
          </c:dPt>
          <c:dPt>
            <c:idx val="4"/>
            <c:bubble3D val="0"/>
            <c:spPr>
              <a:solidFill>
                <a:srgbClr val="FFFF99"/>
              </a:solidFill>
              <a:ln w="12700">
                <a:solidFill>
                  <a:srgbClr val="000000"/>
                </a:solidFill>
                <a:prstDash val="solid"/>
              </a:ln>
            </c:spPr>
            <c:extLst>
              <c:ext xmlns:c16="http://schemas.microsoft.com/office/drawing/2014/chart" uri="{C3380CC4-5D6E-409C-BE32-E72D297353CC}">
                <c16:uniqueId val="{00000008-7643-4C60-A271-61715AB1A75F}"/>
              </c:ext>
            </c:extLst>
          </c:dPt>
          <c:dLbls>
            <c:dLbl>
              <c:idx val="2"/>
              <c:layout>
                <c:manualLayout>
                  <c:x val="7.1492403932082215E-3"/>
                  <c:y val="-6.481481481481481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643-4C60-A271-61715AB1A75F}"/>
                </c:ext>
              </c:extLst>
            </c:dLbl>
            <c:dLbl>
              <c:idx val="3"/>
              <c:layout>
                <c:manualLayout>
                  <c:x val="-5.7193923145665758E-2"/>
                  <c:y val="-9.25925925925925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43-4C60-A271-61715AB1A75F}"/>
                </c:ext>
              </c:extLst>
            </c:dLbl>
            <c:dLbl>
              <c:idx val="4"/>
              <c:layout>
                <c:manualLayout>
                  <c:x val="2.5022341376228777E-2"/>
                  <c:y val="0"/>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643-4C60-A271-61715AB1A75F}"/>
                </c:ext>
              </c:extLst>
            </c:dLbl>
            <c:spPr>
              <a:noFill/>
              <a:ln>
                <a:noFill/>
              </a:ln>
              <a:effectLst/>
            </c:spPr>
            <c:txPr>
              <a:bodyPr/>
              <a:lstStyle/>
              <a:p>
                <a:pPr>
                  <a:defRPr sz="800"/>
                </a:pPr>
                <a:endParaRPr lang="ja-JP"/>
              </a:p>
            </c:txPr>
            <c:showLegendKey val="0"/>
            <c:showVal val="0"/>
            <c:showCatName val="0"/>
            <c:showSerName val="0"/>
            <c:showPercent val="1"/>
            <c:showBubbleSize val="0"/>
            <c:showLeaderLines val="1"/>
            <c:extLst>
              <c:ext xmlns:c15="http://schemas.microsoft.com/office/drawing/2012/chart" uri="{CE6537A1-D6FC-4f65-9D91-7224C49458BB}"/>
            </c:extLst>
          </c:dLbls>
          <c:cat>
            <c:strRef>
              <c:f>'(2)登録情報'!$B$25:$B$29</c:f>
              <c:strCache>
                <c:ptCount val="5"/>
                <c:pt idx="0">
                  <c:v>原材料調達段階</c:v>
                </c:pt>
                <c:pt idx="1">
                  <c:v>生産段階</c:v>
                </c:pt>
                <c:pt idx="2">
                  <c:v>流通段階</c:v>
                </c:pt>
                <c:pt idx="3">
                  <c:v>使用・維持管理段階</c:v>
                </c:pt>
                <c:pt idx="4">
                  <c:v>廃棄・リサイクル段階</c:v>
                </c:pt>
              </c:strCache>
            </c:strRef>
          </c:cat>
          <c:val>
            <c:numRef>
              <c:f>'(2)登録情報'!$C$25:$C$29</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9-7643-4C60-A271-61715AB1A75F}"/>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layout>
        <c:manualLayout>
          <c:xMode val="edge"/>
          <c:yMode val="edge"/>
          <c:x val="0.566477380675941"/>
          <c:y val="4.2262321376494605E-2"/>
          <c:w val="0.33802790736948762"/>
          <c:h val="0.93180664916885392"/>
        </c:manualLayout>
      </c:layout>
      <c:overlay val="0"/>
      <c:spPr>
        <a:solidFill>
          <a:srgbClr val="FFFFFF"/>
        </a:solidFill>
        <a:ln w="3175">
          <a:solidFill>
            <a:srgbClr val="000000"/>
          </a:solidFill>
          <a:prstDash val="solid"/>
        </a:ln>
      </c:spPr>
      <c:txPr>
        <a:bodyPr/>
        <a:lstStyle/>
        <a:p>
          <a:pPr rtl="0">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067074948964"/>
          <c:y val="0.2340590721715938"/>
          <c:w val="0.68259332166812481"/>
          <c:h val="0.5975283097501185"/>
        </c:manualLayout>
      </c:layout>
      <c:doughnut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804-45CB-93AD-C5EF111C7177}"/>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2-1804-45CB-93AD-C5EF111C7177}"/>
              </c:ext>
            </c:extLst>
          </c:dPt>
          <c:dPt>
            <c:idx val="2"/>
            <c:bubble3D val="0"/>
            <c:spPr>
              <a:solidFill>
                <a:srgbClr val="CCFFCC"/>
              </a:solidFill>
              <a:ln w="12700">
                <a:solidFill>
                  <a:srgbClr val="000000"/>
                </a:solidFill>
                <a:prstDash val="solid"/>
              </a:ln>
            </c:spPr>
            <c:extLst>
              <c:ext xmlns:c16="http://schemas.microsoft.com/office/drawing/2014/chart" uri="{C3380CC4-5D6E-409C-BE32-E72D297353CC}">
                <c16:uniqueId val="{00000004-1804-45CB-93AD-C5EF111C7177}"/>
              </c:ext>
            </c:extLst>
          </c:dPt>
          <c:dPt>
            <c:idx val="3"/>
            <c:bubble3D val="0"/>
            <c:spPr>
              <a:solidFill>
                <a:srgbClr val="CC99FF"/>
              </a:solidFill>
              <a:ln w="12700">
                <a:solidFill>
                  <a:srgbClr val="000000"/>
                </a:solidFill>
                <a:prstDash val="solid"/>
              </a:ln>
            </c:spPr>
            <c:extLst>
              <c:ext xmlns:c16="http://schemas.microsoft.com/office/drawing/2014/chart" uri="{C3380CC4-5D6E-409C-BE32-E72D297353CC}">
                <c16:uniqueId val="{00000006-1804-45CB-93AD-C5EF111C7177}"/>
              </c:ext>
            </c:extLst>
          </c:dPt>
          <c:dPt>
            <c:idx val="4"/>
            <c:bubble3D val="0"/>
            <c:spPr>
              <a:solidFill>
                <a:srgbClr val="FFFF99"/>
              </a:solidFill>
              <a:ln w="12700">
                <a:solidFill>
                  <a:srgbClr val="000000"/>
                </a:solidFill>
                <a:prstDash val="solid"/>
              </a:ln>
            </c:spPr>
            <c:extLst>
              <c:ext xmlns:c16="http://schemas.microsoft.com/office/drawing/2014/chart" uri="{C3380CC4-5D6E-409C-BE32-E72D297353CC}">
                <c16:uniqueId val="{00000008-1804-45CB-93AD-C5EF111C7177}"/>
              </c:ext>
            </c:extLst>
          </c:dPt>
          <c:dLbls>
            <c:dLbl>
              <c:idx val="2"/>
              <c:layout>
                <c:manualLayout>
                  <c:x val="-0.16203703703703703"/>
                  <c:y val="-7.294830498901304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804-45CB-93AD-C5EF111C7177}"/>
                </c:ext>
              </c:extLst>
            </c:dLbl>
            <c:dLbl>
              <c:idx val="3"/>
              <c:layout>
                <c:manualLayout>
                  <c:x val="-1.3888888888888888E-2"/>
                  <c:y val="-0.1864234460830334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804-45CB-93AD-C5EF111C7177}"/>
                </c:ext>
              </c:extLst>
            </c:dLbl>
            <c:dLbl>
              <c:idx val="4"/>
              <c:layout>
                <c:manualLayout>
                  <c:x val="0.23148148148148148"/>
                  <c:y val="-0.1175278247045210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1804-45CB-93AD-C5EF111C7177}"/>
                </c:ext>
              </c:extLst>
            </c:dLbl>
            <c:spPr>
              <a:noFill/>
              <a:ln>
                <a:noFill/>
              </a:ln>
              <a:effectLst/>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'(2)登録情報'!$B$25:$B$29</c:f>
              <c:strCache>
                <c:ptCount val="5"/>
                <c:pt idx="0">
                  <c:v>原材料調達段階</c:v>
                </c:pt>
                <c:pt idx="1">
                  <c:v>生産段階</c:v>
                </c:pt>
                <c:pt idx="2">
                  <c:v>流通段階</c:v>
                </c:pt>
                <c:pt idx="3">
                  <c:v>使用・維持管理段階</c:v>
                </c:pt>
                <c:pt idx="4">
                  <c:v>廃棄・リサイクル段階</c:v>
                </c:pt>
              </c:strCache>
            </c:strRef>
          </c:cat>
          <c:val>
            <c:numRef>
              <c:f>'(2)登録情報'!$C$25:$C$29</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9-1804-45CB-93AD-C5EF111C7177}"/>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190501</xdr:colOff>
      <xdr:row>7</xdr:row>
      <xdr:rowOff>33618</xdr:rowOff>
    </xdr:from>
    <xdr:to>
      <xdr:col>10</xdr:col>
      <xdr:colOff>818030</xdr:colOff>
      <xdr:row>11</xdr:row>
      <xdr:rowOff>78441</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2046325" y="2330824"/>
          <a:ext cx="1647264" cy="1299882"/>
        </a:xfrm>
        <a:prstGeom prst="wedgeRectCallout">
          <a:avLst>
            <a:gd name="adj1" fmla="val 20426"/>
            <a:gd name="adj2" fmla="val 70911"/>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根拠資料を識別するための名称・管理番号・帳票の通し番号・日付などの情報を記載してください。</a:t>
          </a:r>
        </a:p>
      </xdr:txBody>
    </xdr:sp>
    <xdr:clientData/>
  </xdr:twoCellAnchor>
  <xdr:twoCellAnchor>
    <xdr:from>
      <xdr:col>4</xdr:col>
      <xdr:colOff>1066159</xdr:colOff>
      <xdr:row>20</xdr:row>
      <xdr:rowOff>35217</xdr:rowOff>
    </xdr:from>
    <xdr:to>
      <xdr:col>6</xdr:col>
      <xdr:colOff>1323896</xdr:colOff>
      <xdr:row>22</xdr:row>
      <xdr:rowOff>124063</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5488480" y="6280896"/>
          <a:ext cx="4149380" cy="714774"/>
        </a:xfrm>
        <a:prstGeom prst="wedgeRectCallout">
          <a:avLst>
            <a:gd name="adj1" fmla="val -39546"/>
            <a:gd name="adj2" fmla="val 320060"/>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印刷機ごとに用紙へのレイアウト数（片面のページ数）を入れてください。例：菊全に</a:t>
          </a:r>
          <a:r>
            <a:rPr kumimoji="1" lang="en-US" altLang="ja-JP" sz="1200" b="1"/>
            <a:t>A4</a:t>
          </a:r>
          <a:r>
            <a:rPr kumimoji="1" lang="ja-JP" altLang="en-US" sz="1200" b="1"/>
            <a:t>をレイアウトすると、「</a:t>
          </a:r>
          <a:r>
            <a:rPr kumimoji="1" lang="en-US" altLang="ja-JP" sz="1200" b="1"/>
            <a:t>8</a:t>
          </a:r>
          <a:r>
            <a:rPr kumimoji="1" lang="ja-JP" altLang="en-US" sz="1200" b="1"/>
            <a:t>」面が最大となります。</a:t>
          </a:r>
        </a:p>
      </xdr:txBody>
    </xdr:sp>
    <xdr:clientData/>
  </xdr:twoCellAnchor>
  <xdr:twoCellAnchor editAs="oneCell">
    <xdr:from>
      <xdr:col>11</xdr:col>
      <xdr:colOff>71236</xdr:colOff>
      <xdr:row>11</xdr:row>
      <xdr:rowOff>135164</xdr:rowOff>
    </xdr:from>
    <xdr:to>
      <xdr:col>20</xdr:col>
      <xdr:colOff>116059</xdr:colOff>
      <xdr:row>26</xdr:row>
      <xdr:rowOff>100852</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68879" y="3673021"/>
          <a:ext cx="6453788" cy="4891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244928</xdr:colOff>
      <xdr:row>0</xdr:row>
      <xdr:rowOff>898071</xdr:rowOff>
    </xdr:from>
    <xdr:to>
      <xdr:col>10</xdr:col>
      <xdr:colOff>326570</xdr:colOff>
      <xdr:row>2</xdr:row>
      <xdr:rowOff>149676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667249" y="898071"/>
          <a:ext cx="10831285" cy="83003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白い欄は数値を、黄色になっている欄はプルダウンから選択して埋めてください</a:t>
          </a:r>
          <a:endParaRPr kumimoji="1" lang="en-US" altLang="ja-JP" sz="1800" b="1"/>
        </a:p>
        <a:p>
          <a:pPr algn="ctr"/>
          <a:r>
            <a:rPr kumimoji="1" lang="en-US" altLang="ja-JP" sz="1600" b="1"/>
            <a:t>※</a:t>
          </a:r>
          <a:r>
            <a:rPr kumimoji="1" lang="ja-JP" altLang="en-US" sz="1600" b="1"/>
            <a:t>プルダウンの選択によって色が変わる欄もありますのでご注意ください。</a:t>
          </a:r>
          <a:endParaRPr kumimoji="1" lang="en-US" altLang="ja-JP" sz="1600" b="1"/>
        </a:p>
      </xdr:txBody>
    </xdr:sp>
    <xdr:clientData/>
  </xdr:twoCellAnchor>
  <xdr:twoCellAnchor>
    <xdr:from>
      <xdr:col>0</xdr:col>
      <xdr:colOff>108858</xdr:colOff>
      <xdr:row>0</xdr:row>
      <xdr:rowOff>95250</xdr:rowOff>
    </xdr:from>
    <xdr:to>
      <xdr:col>10</xdr:col>
      <xdr:colOff>666751</xdr:colOff>
      <xdr:row>0</xdr:row>
      <xdr:rowOff>762000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08858" y="95250"/>
          <a:ext cx="15729857" cy="666750"/>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50"/>
            <a:t>印刷の</a:t>
          </a:r>
          <a:r>
            <a:rPr kumimoji="1" lang="en-US" altLang="ja-JP" sz="1650"/>
            <a:t>CFP</a:t>
          </a:r>
          <a:r>
            <a:rPr kumimoji="1" lang="ja-JP" altLang="en-US" sz="1650"/>
            <a:t>算定ツールは、</a:t>
          </a:r>
          <a:r>
            <a:rPr kumimoji="1" lang="en-US" altLang="ja-JP" sz="1650"/>
            <a:t>CFP</a:t>
          </a:r>
          <a:r>
            <a:rPr kumimoji="1" lang="ja-JP" altLang="en-US" sz="1650"/>
            <a:t>プログラムの簡易検証実験のために作成されています。 本ツールを簡易検証実験以外の目的で使用することはできません。</a:t>
          </a:r>
          <a:endParaRPr kumimoji="1" lang="en-US" altLang="ja-JP" sz="1650"/>
        </a:p>
        <a:p>
          <a:pPr algn="ctr"/>
          <a:r>
            <a:rPr kumimoji="1" lang="ja-JP" altLang="en-US" sz="1650"/>
            <a:t>また、目的外利用による直接又は間接の被害については、使用者がその一切の責任を負うものとし、産業環境管理協会はいかなる責任も負いません。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1038225</xdr:colOff>
      <xdr:row>62</xdr:row>
      <xdr:rowOff>9526</xdr:rowOff>
    </xdr:from>
    <xdr:to>
      <xdr:col>17</xdr:col>
      <xdr:colOff>257175</xdr:colOff>
      <xdr:row>66</xdr:row>
      <xdr:rowOff>123826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506575" y="17497426"/>
          <a:ext cx="5276850" cy="800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海運・国際輸送</a:t>
          </a:r>
          <a:endParaRPr kumimoji="1" lang="en-US" altLang="ja-JP" sz="1100"/>
        </a:p>
        <a:p>
          <a:pPr algn="l"/>
          <a:r>
            <a:rPr kumimoji="1" lang="ja-JP" altLang="en-US" sz="1100"/>
            <a:t>の場合を未記入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1076325</xdr:colOff>
      <xdr:row>32</xdr:row>
      <xdr:rowOff>133350</xdr:rowOff>
    </xdr:from>
    <xdr:to>
      <xdr:col>5</xdr:col>
      <xdr:colOff>942975</xdr:colOff>
      <xdr:row>32</xdr:row>
      <xdr:rowOff>1504950</xdr:rowOff>
    </xdr:to>
    <xdr:graphicFrame macro="">
      <xdr:nvGraphicFramePr>
        <xdr:cNvPr id="387088" name="グラフ 1">
          <a:extLst>
            <a:ext uri="{FF2B5EF4-FFF2-40B4-BE49-F238E27FC236}">
              <a16:creationId xmlns:a16="http://schemas.microsoft.com/office/drawing/2014/main" id="{00000000-0008-0000-0600-000010E8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971550</xdr:colOff>
      <xdr:row>0</xdr:row>
      <xdr:rowOff>28575</xdr:rowOff>
    </xdr:from>
    <xdr:to>
      <xdr:col>5</xdr:col>
      <xdr:colOff>1600200</xdr:colOff>
      <xdr:row>2</xdr:row>
      <xdr:rowOff>57150</xdr:rowOff>
    </xdr:to>
    <xdr:pic>
      <xdr:nvPicPr>
        <xdr:cNvPr id="387089" name="Picture 2" descr="C:\Documents and Settings\kaji\デスクトップ\howto_img_02.jpg">
          <a:extLst>
            <a:ext uri="{FF2B5EF4-FFF2-40B4-BE49-F238E27FC236}">
              <a16:creationId xmlns:a16="http://schemas.microsoft.com/office/drawing/2014/main" id="{00000000-0008-0000-0600-000011E805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28575"/>
          <a:ext cx="628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338818</xdr:colOff>
      <xdr:row>5</xdr:row>
      <xdr:rowOff>126546</xdr:rowOff>
    </xdr:from>
    <xdr:to>
      <xdr:col>8</xdr:col>
      <xdr:colOff>459921</xdr:colOff>
      <xdr:row>15</xdr:row>
      <xdr:rowOff>133350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8044543" y="1345746"/>
          <a:ext cx="1721303" cy="2349954"/>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bg1"/>
              </a:solidFill>
            </a:rPr>
            <a:t>製品写真データを</a:t>
          </a:r>
          <a:endParaRPr kumimoji="1" lang="en-US" altLang="ja-JP" sz="1300" b="1">
            <a:solidFill>
              <a:schemeClr val="bg1"/>
            </a:solidFill>
          </a:endParaRPr>
        </a:p>
        <a:p>
          <a:pPr algn="l"/>
          <a:r>
            <a:rPr kumimoji="1" lang="ja-JP" altLang="en-US" sz="1300" b="1">
              <a:solidFill>
                <a:schemeClr val="bg1"/>
              </a:solidFill>
            </a:rPr>
            <a:t>貼付してください。</a:t>
          </a:r>
          <a:endParaRPr kumimoji="1" lang="en-US" altLang="ja-JP" sz="1300" b="1">
            <a:solidFill>
              <a:schemeClr val="bg1"/>
            </a:solidFill>
          </a:endParaRPr>
        </a:p>
        <a:p>
          <a:pPr algn="l"/>
          <a:endParaRPr kumimoji="1" lang="en-US" altLang="ja-JP" sz="1100" b="1">
            <a:solidFill>
              <a:schemeClr val="bg1"/>
            </a:solidFill>
          </a:endParaRPr>
        </a:p>
        <a:p>
          <a:pPr algn="l"/>
          <a:r>
            <a:rPr kumimoji="1" lang="ja-JP" altLang="en-US" sz="1100" b="1">
              <a:solidFill>
                <a:schemeClr val="bg1"/>
              </a:solidFill>
            </a:rPr>
            <a:t>検証申請時仮のデータになる場合は、仮であることがわかるようにしておいてください。</a:t>
          </a:r>
          <a:endParaRPr kumimoji="1" lang="en-US" altLang="ja-JP" sz="1100" b="1">
            <a:solidFill>
              <a:schemeClr val="bg1"/>
            </a:solidFill>
          </a:endParaRPr>
        </a:p>
        <a:p>
          <a:pPr algn="l"/>
          <a:endParaRPr kumimoji="1" lang="en-US" altLang="ja-JP" sz="1100" b="1">
            <a:solidFill>
              <a:schemeClr val="bg1"/>
            </a:solidFill>
          </a:endParaRPr>
        </a:p>
        <a:p>
          <a:pPr algn="l"/>
          <a:r>
            <a:rPr kumimoji="1" lang="ja-JP" altLang="en-US" sz="1100" b="1">
              <a:solidFill>
                <a:schemeClr val="bg1"/>
              </a:solidFill>
            </a:rPr>
            <a:t>公開時には正式な写真が必要です。</a:t>
          </a:r>
        </a:p>
      </xdr:txBody>
    </xdr:sp>
    <xdr:clientData/>
  </xdr:twoCellAnchor>
  <xdr:twoCellAnchor>
    <xdr:from>
      <xdr:col>6</xdr:col>
      <xdr:colOff>28575</xdr:colOff>
      <xdr:row>7</xdr:row>
      <xdr:rowOff>257175</xdr:rowOff>
    </xdr:from>
    <xdr:to>
      <xdr:col>6</xdr:col>
      <xdr:colOff>447675</xdr:colOff>
      <xdr:row>9</xdr:row>
      <xdr:rowOff>152400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rot="10800000">
          <a:off x="7734300" y="2009775"/>
          <a:ext cx="419100" cy="3714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514350</xdr:colOff>
      <xdr:row>29</xdr:row>
      <xdr:rowOff>95250</xdr:rowOff>
    </xdr:from>
    <xdr:to>
      <xdr:col>9</xdr:col>
      <xdr:colOff>704850</xdr:colOff>
      <xdr:row>32</xdr:row>
      <xdr:rowOff>1364796</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8220075" y="7381875"/>
          <a:ext cx="2476500" cy="2117271"/>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rPr>
            <a:t>単位を確認してください。</a:t>
          </a:r>
          <a:endParaRPr kumimoji="1" lang="en-US" altLang="ja-JP" sz="1400" b="1">
            <a:solidFill>
              <a:schemeClr val="bg1"/>
            </a:solidFill>
          </a:endParaRPr>
        </a:p>
        <a:p>
          <a:pPr algn="l"/>
          <a:endParaRPr kumimoji="1" lang="en-US" altLang="ja-JP" sz="1400" b="1">
            <a:solidFill>
              <a:schemeClr val="bg1"/>
            </a:solidFill>
          </a:endParaRPr>
        </a:p>
        <a:p>
          <a:pPr algn="l"/>
          <a:r>
            <a:rPr kumimoji="1" lang="ja-JP" altLang="en-US" sz="1400" b="1">
              <a:solidFill>
                <a:schemeClr val="bg1"/>
              </a:solidFill>
            </a:rPr>
            <a:t>ｇ単位で表示されるようになっています。</a:t>
          </a:r>
          <a:endParaRPr kumimoji="1" lang="en-US" altLang="ja-JP" sz="1400" b="1">
            <a:solidFill>
              <a:schemeClr val="bg1"/>
            </a:solidFill>
          </a:endParaRPr>
        </a:p>
        <a:p>
          <a:pPr algn="l"/>
          <a:r>
            <a:rPr kumimoji="1" lang="ja-JP" altLang="en-US" sz="1400" b="1">
              <a:solidFill>
                <a:schemeClr val="bg1"/>
              </a:solidFill>
            </a:rPr>
            <a:t>重い冊子等で㎏単位の方が適切と思われる場合は、適宜修正してください。</a:t>
          </a:r>
        </a:p>
      </xdr:txBody>
    </xdr:sp>
    <xdr:clientData/>
  </xdr:twoCellAnchor>
  <xdr:twoCellAnchor>
    <xdr:from>
      <xdr:col>6</xdr:col>
      <xdr:colOff>95250</xdr:colOff>
      <xdr:row>31</xdr:row>
      <xdr:rowOff>0</xdr:rowOff>
    </xdr:from>
    <xdr:to>
      <xdr:col>6</xdr:col>
      <xdr:colOff>514350</xdr:colOff>
      <xdr:row>31</xdr:row>
      <xdr:rowOff>371475</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rot="10800000">
          <a:off x="7800975" y="7658100"/>
          <a:ext cx="419100" cy="3714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149679</xdr:colOff>
      <xdr:row>1</xdr:row>
      <xdr:rowOff>68035</xdr:rowOff>
    </xdr:from>
    <xdr:to>
      <xdr:col>0</xdr:col>
      <xdr:colOff>693965</xdr:colOff>
      <xdr:row>25</xdr:row>
      <xdr:rowOff>449035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49679" y="408214"/>
          <a:ext cx="544286" cy="11715750"/>
        </a:xfrm>
        <a:prstGeom prst="rect">
          <a:avLst/>
        </a:prstGeom>
        <a:solidFill>
          <a:srgbClr val="C00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1800" b="1"/>
            <a:t>　数値の入っていない行を表示させたくない場合は、オートフィルタでＡ列の空白セルを非表示にしてください。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8</xdr:row>
      <xdr:rowOff>152399</xdr:rowOff>
    </xdr:from>
    <xdr:to>
      <xdr:col>3</xdr:col>
      <xdr:colOff>381000</xdr:colOff>
      <xdr:row>22</xdr:row>
      <xdr:rowOff>142875</xdr:rowOff>
    </xdr:to>
    <xdr:graphicFrame macro="">
      <xdr:nvGraphicFramePr>
        <xdr:cNvPr id="10" name="グラフ 1">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10</xdr:row>
      <xdr:rowOff>33175</xdr:rowOff>
    </xdr:from>
    <xdr:to>
      <xdr:col>2</xdr:col>
      <xdr:colOff>19050</xdr:colOff>
      <xdr:row>17</xdr:row>
      <xdr:rowOff>123824</xdr:rowOff>
    </xdr:to>
    <xdr:pic>
      <xdr:nvPicPr>
        <xdr:cNvPr id="6" name="図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2"/>
        <a:stretch>
          <a:fillRect/>
        </a:stretch>
      </xdr:blipFill>
      <xdr:spPr>
        <a:xfrm>
          <a:off x="666750" y="2347750"/>
          <a:ext cx="1581150" cy="16146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435769</xdr:colOff>
      <xdr:row>27</xdr:row>
      <xdr:rowOff>73819</xdr:rowOff>
    </xdr:from>
    <xdr:to>
      <xdr:col>9</xdr:col>
      <xdr:colOff>247650</xdr:colOff>
      <xdr:row>30</xdr:row>
      <xdr:rowOff>95250</xdr:rowOff>
    </xdr:to>
    <xdr:sp macro="" textlink="">
      <xdr:nvSpPr>
        <xdr:cNvPr id="6150" name="Text Box 6">
          <a:extLst>
            <a:ext uri="{FF2B5EF4-FFF2-40B4-BE49-F238E27FC236}">
              <a16:creationId xmlns:a16="http://schemas.microsoft.com/office/drawing/2014/main" id="{00000000-0008-0000-0A00-000006180000}"/>
            </a:ext>
          </a:extLst>
        </xdr:cNvPr>
        <xdr:cNvSpPr txBox="1">
          <a:spLocks noChangeArrowheads="1"/>
        </xdr:cNvSpPr>
      </xdr:nvSpPr>
      <xdr:spPr bwMode="auto">
        <a:xfrm>
          <a:off x="1121569" y="3845719"/>
          <a:ext cx="5298281" cy="535781"/>
        </a:xfrm>
        <a:prstGeom prst="rect">
          <a:avLst/>
        </a:prstGeom>
        <a:noFill/>
        <a:ln>
          <a:noFill/>
        </a:ln>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なお、フロー図の中間製品やプロセス等に番号を付し、「</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データ入力と算出結果」シートの「プロセス名」の欄および「</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データの根拠」シートの「（必要に応じて）関係するエビデンス資料、説明資料の名称、プロセス番号」の欄にそれぞれ番号を記載すること。</a:t>
          </a:r>
        </a:p>
      </xdr:txBody>
    </xdr:sp>
    <xdr:clientData/>
  </xdr:twoCellAnchor>
  <xdr:twoCellAnchor editAs="oneCell">
    <xdr:from>
      <xdr:col>0</xdr:col>
      <xdr:colOff>85725</xdr:colOff>
      <xdr:row>4</xdr:row>
      <xdr:rowOff>27535</xdr:rowOff>
    </xdr:from>
    <xdr:to>
      <xdr:col>10</xdr:col>
      <xdr:colOff>640559</xdr:colOff>
      <xdr:row>29</xdr:row>
      <xdr:rowOff>142875</xdr:rowOff>
    </xdr:to>
    <xdr:pic>
      <xdr:nvPicPr>
        <xdr:cNvPr id="4" name="図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13335"/>
          <a:ext cx="7565234" cy="4401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478;&#38651;&#21517;&#3180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電担当者 "/>
      <sheetName val="入力画面選択肢等"/>
      <sheetName val="算定シート"/>
      <sheetName val="参照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69"/>
  <sheetViews>
    <sheetView zoomScale="85" zoomScaleNormal="85" workbookViewId="0">
      <pane xSplit="3" ySplit="2" topLeftCell="D18" activePane="bottomRight" state="frozen"/>
      <selection pane="topRight" activeCell="D1" sqref="D1"/>
      <selection pane="bottomLeft" activeCell="A3" sqref="A3"/>
      <selection pane="bottomRight" activeCell="A74" sqref="A74"/>
    </sheetView>
  </sheetViews>
  <sheetFormatPr defaultRowHeight="14.25"/>
  <cols>
    <col min="1" max="1" width="15" style="195" bestFit="1" customWidth="1"/>
    <col min="2" max="2" width="11.375" style="194" customWidth="1"/>
    <col min="3" max="3" width="24.75" style="199" customWidth="1"/>
    <col min="4" max="4" width="29.75" style="211" customWidth="1"/>
    <col min="5" max="5" width="10.875" style="199" bestFit="1" customWidth="1"/>
    <col min="6" max="6" width="9.125" style="194" bestFit="1" customWidth="1"/>
    <col min="7" max="7" width="10.25" style="194" bestFit="1" customWidth="1"/>
    <col min="8" max="8" width="8.375" style="194" customWidth="1"/>
    <col min="9" max="11" width="9" style="194"/>
    <col min="12" max="16384" width="9" style="195"/>
  </cols>
  <sheetData>
    <row r="1" spans="1:11">
      <c r="A1" s="695" t="s">
        <v>212</v>
      </c>
      <c r="B1" s="695"/>
      <c r="C1" s="695"/>
      <c r="D1" s="695"/>
      <c r="E1" s="695"/>
      <c r="F1" s="695"/>
      <c r="G1" s="695"/>
    </row>
    <row r="2" spans="1:11">
      <c r="B2" s="197"/>
      <c r="C2" s="205"/>
      <c r="D2" s="208"/>
      <c r="E2" s="198" t="s">
        <v>265</v>
      </c>
      <c r="F2" s="197" t="s">
        <v>213</v>
      </c>
      <c r="G2" s="197" t="s">
        <v>215</v>
      </c>
      <c r="H2" s="197" t="s">
        <v>214</v>
      </c>
      <c r="I2" s="197" t="s">
        <v>216</v>
      </c>
      <c r="J2" s="197" t="s">
        <v>217</v>
      </c>
      <c r="K2" s="197" t="s">
        <v>218</v>
      </c>
    </row>
    <row r="3" spans="1:11">
      <c r="A3" s="202" t="s">
        <v>251</v>
      </c>
      <c r="B3" s="201" t="s">
        <v>269</v>
      </c>
      <c r="C3" s="206"/>
      <c r="D3" s="209"/>
      <c r="E3" s="200"/>
      <c r="F3" s="201"/>
      <c r="G3" s="201"/>
      <c r="H3" s="201"/>
      <c r="I3" s="201"/>
      <c r="J3" s="201"/>
      <c r="K3" s="201"/>
    </row>
    <row r="4" spans="1:11">
      <c r="A4" s="193" t="s">
        <v>191</v>
      </c>
      <c r="B4" s="197" t="s">
        <v>270</v>
      </c>
      <c r="C4" s="217" t="s">
        <v>325</v>
      </c>
      <c r="D4" s="208" t="s">
        <v>302</v>
      </c>
      <c r="E4" s="198" t="s">
        <v>18</v>
      </c>
      <c r="F4" s="197" t="s">
        <v>220</v>
      </c>
      <c r="G4" s="197" t="s">
        <v>220</v>
      </c>
      <c r="H4" s="197" t="s">
        <v>221</v>
      </c>
      <c r="I4" s="197" t="s">
        <v>220</v>
      </c>
      <c r="J4" s="197" t="s">
        <v>220</v>
      </c>
      <c r="K4" s="197" t="s">
        <v>220</v>
      </c>
    </row>
    <row r="5" spans="1:11">
      <c r="A5" s="212" t="s">
        <v>196</v>
      </c>
      <c r="B5" s="213" t="s">
        <v>266</v>
      </c>
      <c r="C5" s="214" t="s">
        <v>197</v>
      </c>
      <c r="D5" s="215"/>
      <c r="E5" s="216"/>
      <c r="F5" s="696" t="s">
        <v>241</v>
      </c>
      <c r="G5" s="697"/>
      <c r="H5" s="697"/>
      <c r="I5" s="697"/>
      <c r="J5" s="697"/>
      <c r="K5" s="698"/>
    </row>
    <row r="6" spans="1:11">
      <c r="A6" s="212" t="s">
        <v>196</v>
      </c>
      <c r="B6" s="213" t="s">
        <v>266</v>
      </c>
      <c r="C6" s="214" t="s">
        <v>199</v>
      </c>
      <c r="D6" s="215"/>
      <c r="E6" s="216"/>
      <c r="F6" s="699"/>
      <c r="G6" s="700"/>
      <c r="H6" s="700"/>
      <c r="I6" s="700"/>
      <c r="J6" s="700"/>
      <c r="K6" s="701"/>
    </row>
    <row r="7" spans="1:11">
      <c r="A7" s="212" t="s">
        <v>196</v>
      </c>
      <c r="B7" s="213" t="s">
        <v>266</v>
      </c>
      <c r="C7" s="214" t="s">
        <v>200</v>
      </c>
      <c r="D7" s="215"/>
      <c r="E7" s="216"/>
      <c r="F7" s="702"/>
      <c r="G7" s="703"/>
      <c r="H7" s="703"/>
      <c r="I7" s="703"/>
      <c r="J7" s="703"/>
      <c r="K7" s="704"/>
    </row>
    <row r="8" spans="1:11">
      <c r="A8" s="193" t="s">
        <v>271</v>
      </c>
      <c r="B8" s="197" t="s">
        <v>266</v>
      </c>
      <c r="C8" s="217" t="s">
        <v>198</v>
      </c>
      <c r="D8" s="208"/>
      <c r="E8" s="198" t="s">
        <v>266</v>
      </c>
      <c r="F8" s="197" t="s">
        <v>220</v>
      </c>
      <c r="G8" s="197" t="s">
        <v>220</v>
      </c>
      <c r="H8" s="197" t="s">
        <v>221</v>
      </c>
      <c r="I8" s="197" t="s">
        <v>220</v>
      </c>
      <c r="J8" s="197"/>
      <c r="K8" s="197"/>
    </row>
    <row r="9" spans="1:11">
      <c r="A9" s="193" t="s">
        <v>271</v>
      </c>
      <c r="B9" s="197" t="s">
        <v>266</v>
      </c>
      <c r="C9" s="217" t="s">
        <v>392</v>
      </c>
      <c r="D9" s="705" t="s">
        <v>324</v>
      </c>
      <c r="E9" s="198" t="s">
        <v>266</v>
      </c>
      <c r="F9" s="197" t="s">
        <v>272</v>
      </c>
      <c r="G9" s="197"/>
      <c r="H9" s="197"/>
      <c r="I9" s="197"/>
      <c r="J9" s="197"/>
      <c r="K9" s="197"/>
    </row>
    <row r="10" spans="1:11">
      <c r="A10" s="193" t="s">
        <v>271</v>
      </c>
      <c r="B10" s="197" t="s">
        <v>266</v>
      </c>
      <c r="C10" s="217" t="s">
        <v>199</v>
      </c>
      <c r="D10" s="706"/>
      <c r="E10" s="198" t="s">
        <v>266</v>
      </c>
      <c r="F10" s="197" t="s">
        <v>220</v>
      </c>
      <c r="G10" s="197" t="s">
        <v>221</v>
      </c>
      <c r="H10" s="197" t="s">
        <v>221</v>
      </c>
      <c r="I10" s="197" t="s">
        <v>220</v>
      </c>
      <c r="J10" s="197" t="s">
        <v>272</v>
      </c>
      <c r="K10" s="197" t="s">
        <v>272</v>
      </c>
    </row>
    <row r="11" spans="1:11">
      <c r="A11" s="193" t="s">
        <v>271</v>
      </c>
      <c r="B11" s="197" t="s">
        <v>266</v>
      </c>
      <c r="C11" s="217" t="s">
        <v>273</v>
      </c>
      <c r="D11" s="706"/>
      <c r="E11" s="198" t="s">
        <v>266</v>
      </c>
      <c r="F11" s="197" t="s">
        <v>272</v>
      </c>
      <c r="G11" s="197"/>
      <c r="H11" s="197"/>
      <c r="I11" s="197"/>
      <c r="J11" s="197"/>
      <c r="K11" s="197"/>
    </row>
    <row r="12" spans="1:11">
      <c r="A12" s="193" t="s">
        <v>271</v>
      </c>
      <c r="B12" s="197" t="s">
        <v>266</v>
      </c>
      <c r="C12" s="217" t="s">
        <v>200</v>
      </c>
      <c r="D12" s="707"/>
      <c r="E12" s="198" t="s">
        <v>266</v>
      </c>
      <c r="F12" s="197" t="s">
        <v>220</v>
      </c>
      <c r="G12" s="197" t="s">
        <v>221</v>
      </c>
      <c r="H12" s="197" t="s">
        <v>221</v>
      </c>
      <c r="I12" s="197"/>
      <c r="J12" s="197"/>
      <c r="K12" s="197"/>
    </row>
    <row r="13" spans="1:11">
      <c r="A13" s="193" t="s">
        <v>271</v>
      </c>
      <c r="B13" s="197" t="s">
        <v>266</v>
      </c>
      <c r="C13" s="217" t="s">
        <v>201</v>
      </c>
      <c r="D13" s="208"/>
      <c r="E13" s="198"/>
      <c r="F13" s="197" t="s">
        <v>221</v>
      </c>
      <c r="G13" s="197" t="s">
        <v>221</v>
      </c>
      <c r="H13" s="197" t="s">
        <v>221</v>
      </c>
      <c r="I13" s="197" t="s">
        <v>220</v>
      </c>
      <c r="J13" s="197"/>
      <c r="K13" s="197"/>
    </row>
    <row r="14" spans="1:11">
      <c r="A14" s="193" t="s">
        <v>271</v>
      </c>
      <c r="B14" s="197" t="s">
        <v>266</v>
      </c>
      <c r="C14" s="217" t="s">
        <v>202</v>
      </c>
      <c r="D14" s="208"/>
      <c r="E14" s="198"/>
      <c r="F14" s="197" t="s">
        <v>221</v>
      </c>
      <c r="G14" s="197" t="s">
        <v>221</v>
      </c>
      <c r="H14" s="197" t="s">
        <v>221</v>
      </c>
      <c r="I14" s="197" t="s">
        <v>220</v>
      </c>
      <c r="J14" s="197"/>
      <c r="K14" s="197"/>
    </row>
    <row r="15" spans="1:11">
      <c r="A15" s="193" t="s">
        <v>271</v>
      </c>
      <c r="B15" s="197" t="s">
        <v>266</v>
      </c>
      <c r="C15" s="217" t="s">
        <v>203</v>
      </c>
      <c r="D15" s="208"/>
      <c r="E15" s="198"/>
      <c r="F15" s="197" t="s">
        <v>221</v>
      </c>
      <c r="G15" s="197" t="s">
        <v>221</v>
      </c>
      <c r="H15" s="197" t="s">
        <v>221</v>
      </c>
      <c r="I15" s="197" t="s">
        <v>220</v>
      </c>
      <c r="J15" s="197"/>
      <c r="K15" s="197"/>
    </row>
    <row r="16" spans="1:11">
      <c r="A16" s="193" t="s">
        <v>271</v>
      </c>
      <c r="B16" s="197" t="s">
        <v>266</v>
      </c>
      <c r="C16" s="217" t="s">
        <v>204</v>
      </c>
      <c r="D16" s="208"/>
      <c r="E16" s="198"/>
      <c r="F16" s="197" t="s">
        <v>221</v>
      </c>
      <c r="G16" s="197" t="s">
        <v>221</v>
      </c>
      <c r="H16" s="197" t="s">
        <v>221</v>
      </c>
      <c r="I16" s="197"/>
      <c r="J16" s="197" t="s">
        <v>220</v>
      </c>
      <c r="K16" s="197"/>
    </row>
    <row r="17" spans="1:11">
      <c r="A17" s="193" t="s">
        <v>271</v>
      </c>
      <c r="B17" s="197" t="s">
        <v>266</v>
      </c>
      <c r="C17" s="217" t="s">
        <v>205</v>
      </c>
      <c r="D17" s="208"/>
      <c r="E17" s="198"/>
      <c r="F17" s="197" t="s">
        <v>221</v>
      </c>
      <c r="G17" s="197" t="s">
        <v>221</v>
      </c>
      <c r="H17" s="197" t="s">
        <v>221</v>
      </c>
      <c r="I17" s="197"/>
      <c r="J17" s="197"/>
      <c r="K17" s="197" t="s">
        <v>220</v>
      </c>
    </row>
    <row r="18" spans="1:11">
      <c r="A18" s="193" t="s">
        <v>223</v>
      </c>
      <c r="B18" s="197" t="s">
        <v>266</v>
      </c>
      <c r="C18" s="217" t="s">
        <v>206</v>
      </c>
      <c r="D18" s="208"/>
      <c r="E18" s="198" t="s">
        <v>266</v>
      </c>
      <c r="F18" s="197" t="s">
        <v>220</v>
      </c>
      <c r="G18" s="197" t="s">
        <v>220</v>
      </c>
      <c r="H18" s="197" t="s">
        <v>220</v>
      </c>
      <c r="I18" s="197" t="s">
        <v>220</v>
      </c>
      <c r="J18" s="197" t="s">
        <v>220</v>
      </c>
      <c r="K18" s="197" t="s">
        <v>220</v>
      </c>
    </row>
    <row r="19" spans="1:11" ht="28.5">
      <c r="A19" s="193" t="s">
        <v>223</v>
      </c>
      <c r="B19" s="197" t="s">
        <v>270</v>
      </c>
      <c r="C19" s="205" t="s">
        <v>306</v>
      </c>
      <c r="D19" s="208" t="s">
        <v>303</v>
      </c>
      <c r="E19" s="198" t="s">
        <v>18</v>
      </c>
      <c r="F19" s="197" t="s">
        <v>220</v>
      </c>
      <c r="G19" s="197" t="s">
        <v>220</v>
      </c>
      <c r="H19" s="197" t="s">
        <v>221</v>
      </c>
      <c r="I19" s="197" t="s">
        <v>220</v>
      </c>
      <c r="J19" s="197" t="s">
        <v>220</v>
      </c>
      <c r="K19" s="197" t="s">
        <v>220</v>
      </c>
    </row>
    <row r="20" spans="1:11" ht="28.5">
      <c r="A20" s="193" t="s">
        <v>223</v>
      </c>
      <c r="B20" s="197" t="s">
        <v>270</v>
      </c>
      <c r="C20" s="205" t="s">
        <v>274</v>
      </c>
      <c r="D20" s="208" t="s">
        <v>303</v>
      </c>
      <c r="E20" s="198" t="s">
        <v>18</v>
      </c>
      <c r="F20" s="197" t="s">
        <v>220</v>
      </c>
      <c r="G20" s="197" t="s">
        <v>220</v>
      </c>
      <c r="H20" s="197" t="s">
        <v>221</v>
      </c>
      <c r="I20" s="197" t="s">
        <v>220</v>
      </c>
      <c r="J20" s="197" t="s">
        <v>220</v>
      </c>
      <c r="K20" s="197" t="s">
        <v>220</v>
      </c>
    </row>
    <row r="21" spans="1:11" ht="28.5">
      <c r="A21" s="193" t="s">
        <v>223</v>
      </c>
      <c r="B21" s="197" t="s">
        <v>270</v>
      </c>
      <c r="C21" s="205" t="s">
        <v>275</v>
      </c>
      <c r="D21" s="208" t="s">
        <v>303</v>
      </c>
      <c r="E21" s="198" t="s">
        <v>18</v>
      </c>
      <c r="F21" s="197" t="s">
        <v>220</v>
      </c>
      <c r="G21" s="197" t="s">
        <v>221</v>
      </c>
      <c r="H21" s="197" t="s">
        <v>221</v>
      </c>
      <c r="I21" s="197" t="s">
        <v>220</v>
      </c>
      <c r="J21" s="197" t="s">
        <v>220</v>
      </c>
      <c r="K21" s="197" t="s">
        <v>220</v>
      </c>
    </row>
    <row r="22" spans="1:11">
      <c r="A22" s="193" t="s">
        <v>223</v>
      </c>
      <c r="B22" s="197" t="s">
        <v>266</v>
      </c>
      <c r="C22" s="205" t="s">
        <v>267</v>
      </c>
      <c r="D22" s="208"/>
      <c r="E22" s="198" t="s">
        <v>266</v>
      </c>
      <c r="F22" s="197" t="s">
        <v>237</v>
      </c>
      <c r="G22" s="197" t="s">
        <v>237</v>
      </c>
      <c r="H22" s="197" t="s">
        <v>220</v>
      </c>
      <c r="I22" s="197" t="s">
        <v>237</v>
      </c>
      <c r="J22" s="197" t="s">
        <v>237</v>
      </c>
      <c r="K22" s="197" t="s">
        <v>237</v>
      </c>
    </row>
    <row r="23" spans="1:11">
      <c r="A23" s="193" t="s">
        <v>225</v>
      </c>
      <c r="B23" s="197" t="s">
        <v>266</v>
      </c>
      <c r="C23" s="205" t="s">
        <v>222</v>
      </c>
      <c r="D23" s="208"/>
      <c r="E23" s="198" t="s">
        <v>266</v>
      </c>
      <c r="F23" s="197" t="s">
        <v>220</v>
      </c>
      <c r="G23" s="197" t="s">
        <v>220</v>
      </c>
      <c r="H23" s="197" t="s">
        <v>220</v>
      </c>
      <c r="I23" s="197" t="s">
        <v>220</v>
      </c>
      <c r="J23" s="197" t="s">
        <v>220</v>
      </c>
      <c r="K23" s="197" t="s">
        <v>220</v>
      </c>
    </row>
    <row r="24" spans="1:11">
      <c r="A24" s="193" t="s">
        <v>226</v>
      </c>
      <c r="B24" s="197" t="s">
        <v>266</v>
      </c>
      <c r="C24" s="205" t="s">
        <v>224</v>
      </c>
      <c r="D24" s="208"/>
      <c r="E24" s="198" t="s">
        <v>266</v>
      </c>
      <c r="F24" s="197" t="s">
        <v>220</v>
      </c>
      <c r="G24" s="197" t="s">
        <v>220</v>
      </c>
      <c r="H24" s="197" t="s">
        <v>220</v>
      </c>
      <c r="I24" s="197" t="s">
        <v>220</v>
      </c>
      <c r="J24" s="197" t="s">
        <v>220</v>
      </c>
      <c r="K24" s="197" t="s">
        <v>220</v>
      </c>
    </row>
    <row r="25" spans="1:11">
      <c r="A25" s="193" t="s">
        <v>227</v>
      </c>
      <c r="B25" s="197" t="s">
        <v>266</v>
      </c>
      <c r="C25" s="205" t="s">
        <v>228</v>
      </c>
      <c r="D25" s="208"/>
      <c r="E25" s="198" t="s">
        <v>266</v>
      </c>
      <c r="F25" s="197" t="s">
        <v>220</v>
      </c>
      <c r="G25" s="197" t="s">
        <v>220</v>
      </c>
      <c r="H25" s="197" t="s">
        <v>220</v>
      </c>
      <c r="I25" s="197" t="s">
        <v>220</v>
      </c>
      <c r="J25" s="197" t="s">
        <v>220</v>
      </c>
      <c r="K25" s="197" t="s">
        <v>220</v>
      </c>
    </row>
    <row r="26" spans="1:11" ht="28.5">
      <c r="A26" s="193" t="s">
        <v>229</v>
      </c>
      <c r="B26" s="197" t="s">
        <v>270</v>
      </c>
      <c r="C26" s="205" t="s">
        <v>276</v>
      </c>
      <c r="D26" s="208" t="s">
        <v>304</v>
      </c>
      <c r="E26" s="198" t="s">
        <v>18</v>
      </c>
      <c r="F26" s="197" t="s">
        <v>232</v>
      </c>
      <c r="G26" s="197" t="s">
        <v>220</v>
      </c>
      <c r="H26" s="197" t="s">
        <v>220</v>
      </c>
      <c r="I26" s="197" t="s">
        <v>220</v>
      </c>
      <c r="J26" s="197" t="s">
        <v>220</v>
      </c>
      <c r="K26" s="197" t="s">
        <v>220</v>
      </c>
    </row>
    <row r="27" spans="1:11" ht="28.5">
      <c r="A27" s="193" t="s">
        <v>229</v>
      </c>
      <c r="B27" s="197" t="s">
        <v>270</v>
      </c>
      <c r="C27" s="205" t="s">
        <v>277</v>
      </c>
      <c r="D27" s="208" t="s">
        <v>305</v>
      </c>
      <c r="E27" s="198" t="s">
        <v>18</v>
      </c>
      <c r="F27" s="197" t="s">
        <v>232</v>
      </c>
      <c r="G27" s="197" t="s">
        <v>220</v>
      </c>
      <c r="H27" s="197" t="s">
        <v>220</v>
      </c>
      <c r="I27" s="197" t="s">
        <v>220</v>
      </c>
      <c r="J27" s="197" t="s">
        <v>220</v>
      </c>
      <c r="K27" s="197" t="s">
        <v>220</v>
      </c>
    </row>
    <row r="28" spans="1:11">
      <c r="A28" s="193" t="s">
        <v>229</v>
      </c>
      <c r="B28" s="197" t="s">
        <v>266</v>
      </c>
      <c r="C28" s="205" t="s">
        <v>230</v>
      </c>
      <c r="D28" s="208"/>
      <c r="E28" s="198" t="s">
        <v>266</v>
      </c>
      <c r="F28" s="197"/>
      <c r="G28" s="197"/>
      <c r="H28" s="197"/>
      <c r="I28" s="197"/>
      <c r="J28" s="197"/>
      <c r="K28" s="197"/>
    </row>
    <row r="29" spans="1:11" ht="28.5">
      <c r="A29" s="193" t="s">
        <v>231</v>
      </c>
      <c r="B29" s="197" t="s">
        <v>270</v>
      </c>
      <c r="C29" s="205" t="s">
        <v>307</v>
      </c>
      <c r="D29" s="208" t="s">
        <v>308</v>
      </c>
      <c r="E29" s="198" t="s">
        <v>18</v>
      </c>
      <c r="F29" s="197" t="s">
        <v>220</v>
      </c>
      <c r="G29" s="197" t="s">
        <v>220</v>
      </c>
      <c r="H29" s="197" t="s">
        <v>220</v>
      </c>
      <c r="I29" s="197" t="s">
        <v>220</v>
      </c>
      <c r="J29" s="197" t="s">
        <v>220</v>
      </c>
      <c r="K29" s="197" t="s">
        <v>220</v>
      </c>
    </row>
    <row r="30" spans="1:11">
      <c r="A30" s="193" t="s">
        <v>233</v>
      </c>
      <c r="B30" s="197" t="s">
        <v>266</v>
      </c>
      <c r="C30" s="205" t="s">
        <v>234</v>
      </c>
      <c r="D30" s="208"/>
      <c r="E30" s="198" t="s">
        <v>268</v>
      </c>
      <c r="F30" s="197" t="s">
        <v>220</v>
      </c>
      <c r="G30" s="197" t="s">
        <v>220</v>
      </c>
      <c r="H30" s="197" t="s">
        <v>220</v>
      </c>
      <c r="I30" s="197" t="s">
        <v>220</v>
      </c>
      <c r="J30" s="197" t="s">
        <v>220</v>
      </c>
      <c r="K30" s="197" t="s">
        <v>220</v>
      </c>
    </row>
    <row r="31" spans="1:11">
      <c r="A31" s="202" t="s">
        <v>252</v>
      </c>
      <c r="B31" s="201"/>
      <c r="C31" s="206"/>
      <c r="D31" s="209"/>
      <c r="E31" s="200"/>
      <c r="F31" s="201"/>
      <c r="G31" s="201"/>
      <c r="H31" s="201"/>
      <c r="I31" s="201"/>
      <c r="J31" s="201"/>
      <c r="K31" s="201"/>
    </row>
    <row r="32" spans="1:11">
      <c r="A32" s="193" t="s">
        <v>235</v>
      </c>
      <c r="B32" s="197" t="s">
        <v>270</v>
      </c>
      <c r="C32" s="205" t="s">
        <v>240</v>
      </c>
      <c r="D32" s="208" t="s">
        <v>278</v>
      </c>
      <c r="E32" s="198" t="s">
        <v>18</v>
      </c>
      <c r="F32" s="197" t="s">
        <v>220</v>
      </c>
      <c r="G32" s="197" t="s">
        <v>236</v>
      </c>
      <c r="H32" s="197" t="s">
        <v>237</v>
      </c>
      <c r="I32" s="197" t="s">
        <v>236</v>
      </c>
      <c r="J32" s="197" t="s">
        <v>236</v>
      </c>
      <c r="K32" s="197" t="s">
        <v>236</v>
      </c>
    </row>
    <row r="33" spans="1:11">
      <c r="A33" s="193" t="s">
        <v>239</v>
      </c>
      <c r="B33" s="197" t="s">
        <v>266</v>
      </c>
      <c r="C33" s="205" t="s">
        <v>240</v>
      </c>
      <c r="D33" s="208"/>
      <c r="E33" s="198" t="s">
        <v>266</v>
      </c>
      <c r="F33" s="197" t="s">
        <v>220</v>
      </c>
      <c r="G33" s="197" t="s">
        <v>236</v>
      </c>
      <c r="H33" s="197" t="s">
        <v>237</v>
      </c>
      <c r="I33" s="197" t="s">
        <v>236</v>
      </c>
      <c r="J33" s="197" t="s">
        <v>236</v>
      </c>
      <c r="K33" s="197" t="s">
        <v>236</v>
      </c>
    </row>
    <row r="34" spans="1:11">
      <c r="A34" s="193" t="s">
        <v>238</v>
      </c>
      <c r="B34" s="197" t="s">
        <v>266</v>
      </c>
      <c r="C34" s="205" t="s">
        <v>240</v>
      </c>
      <c r="D34" s="208"/>
      <c r="E34" s="198" t="s">
        <v>266</v>
      </c>
      <c r="F34" s="197" t="s">
        <v>220</v>
      </c>
      <c r="G34" s="197" t="s">
        <v>236</v>
      </c>
      <c r="H34" s="197" t="s">
        <v>237</v>
      </c>
      <c r="I34" s="197" t="s">
        <v>236</v>
      </c>
      <c r="J34" s="197" t="s">
        <v>236</v>
      </c>
      <c r="K34" s="197" t="s">
        <v>236</v>
      </c>
    </row>
    <row r="35" spans="1:11" ht="28.5">
      <c r="A35" s="193" t="s">
        <v>242</v>
      </c>
      <c r="B35" s="197" t="s">
        <v>270</v>
      </c>
      <c r="C35" s="205" t="s">
        <v>243</v>
      </c>
      <c r="D35" s="208" t="s">
        <v>309</v>
      </c>
      <c r="E35" s="198" t="s">
        <v>268</v>
      </c>
      <c r="F35" s="197" t="s">
        <v>219</v>
      </c>
      <c r="G35" s="197" t="s">
        <v>219</v>
      </c>
      <c r="H35" s="197" t="s">
        <v>249</v>
      </c>
      <c r="I35" s="197" t="s">
        <v>219</v>
      </c>
      <c r="J35" s="197" t="s">
        <v>219</v>
      </c>
      <c r="K35" s="197" t="s">
        <v>219</v>
      </c>
    </row>
    <row r="36" spans="1:11" ht="28.5">
      <c r="A36" s="193" t="s">
        <v>242</v>
      </c>
      <c r="B36" s="197" t="s">
        <v>270</v>
      </c>
      <c r="C36" s="205" t="s">
        <v>280</v>
      </c>
      <c r="D36" s="208" t="s">
        <v>310</v>
      </c>
      <c r="E36" s="198" t="s">
        <v>18</v>
      </c>
      <c r="F36" s="197" t="s">
        <v>219</v>
      </c>
      <c r="G36" s="197" t="s">
        <v>219</v>
      </c>
      <c r="H36" s="197" t="s">
        <v>249</v>
      </c>
      <c r="I36" s="197" t="s">
        <v>219</v>
      </c>
      <c r="J36" s="197" t="s">
        <v>219</v>
      </c>
      <c r="K36" s="197" t="s">
        <v>219</v>
      </c>
    </row>
    <row r="37" spans="1:11">
      <c r="A37" s="193" t="s">
        <v>244</v>
      </c>
      <c r="B37" s="197" t="s">
        <v>266</v>
      </c>
      <c r="C37" s="205" t="s">
        <v>240</v>
      </c>
      <c r="D37" s="208"/>
      <c r="E37" s="198" t="s">
        <v>266</v>
      </c>
      <c r="F37" s="197" t="s">
        <v>220</v>
      </c>
      <c r="G37" s="197" t="s">
        <v>220</v>
      </c>
      <c r="H37" s="197" t="s">
        <v>220</v>
      </c>
      <c r="I37" s="197" t="s">
        <v>220</v>
      </c>
      <c r="J37" s="197" t="s">
        <v>220</v>
      </c>
      <c r="K37" s="197" t="s">
        <v>220</v>
      </c>
    </row>
    <row r="38" spans="1:11">
      <c r="A38" s="193" t="s">
        <v>245</v>
      </c>
      <c r="B38" s="197" t="s">
        <v>266</v>
      </c>
      <c r="C38" s="205" t="s">
        <v>240</v>
      </c>
      <c r="D38" s="208"/>
      <c r="E38" s="198" t="s">
        <v>266</v>
      </c>
      <c r="F38" s="197" t="s">
        <v>220</v>
      </c>
      <c r="G38" s="197" t="s">
        <v>220</v>
      </c>
      <c r="H38" s="197" t="s">
        <v>220</v>
      </c>
      <c r="I38" s="197" t="s">
        <v>220</v>
      </c>
      <c r="J38" s="197" t="s">
        <v>220</v>
      </c>
      <c r="K38" s="197" t="s">
        <v>220</v>
      </c>
    </row>
    <row r="39" spans="1:11" ht="28.5">
      <c r="A39" s="193" t="s">
        <v>246</v>
      </c>
      <c r="B39" s="197" t="s">
        <v>270</v>
      </c>
      <c r="C39" s="205" t="s">
        <v>240</v>
      </c>
      <c r="D39" s="208" t="s">
        <v>311</v>
      </c>
      <c r="E39" s="198" t="s">
        <v>18</v>
      </c>
      <c r="F39" s="197" t="s">
        <v>220</v>
      </c>
      <c r="G39" s="197" t="s">
        <v>220</v>
      </c>
      <c r="H39" s="197" t="s">
        <v>220</v>
      </c>
      <c r="I39" s="197" t="s">
        <v>220</v>
      </c>
      <c r="J39" s="197" t="s">
        <v>220</v>
      </c>
      <c r="K39" s="197" t="s">
        <v>220</v>
      </c>
    </row>
    <row r="40" spans="1:11" ht="28.5">
      <c r="A40" s="193" t="s">
        <v>247</v>
      </c>
      <c r="B40" s="197" t="s">
        <v>270</v>
      </c>
      <c r="C40" s="205" t="s">
        <v>281</v>
      </c>
      <c r="D40" s="208" t="s">
        <v>311</v>
      </c>
      <c r="E40" s="198" t="s">
        <v>18</v>
      </c>
      <c r="F40" s="197" t="s">
        <v>220</v>
      </c>
      <c r="G40" s="197" t="s">
        <v>220</v>
      </c>
      <c r="H40" s="197" t="s">
        <v>220</v>
      </c>
      <c r="I40" s="197" t="s">
        <v>220</v>
      </c>
      <c r="J40" s="197" t="s">
        <v>220</v>
      </c>
      <c r="K40" s="197" t="s">
        <v>220</v>
      </c>
    </row>
    <row r="41" spans="1:11" ht="28.5">
      <c r="A41" s="193" t="s">
        <v>247</v>
      </c>
      <c r="B41" s="197" t="s">
        <v>270</v>
      </c>
      <c r="C41" s="205" t="s">
        <v>282</v>
      </c>
      <c r="D41" s="208" t="s">
        <v>311</v>
      </c>
      <c r="E41" s="198" t="s">
        <v>18</v>
      </c>
      <c r="F41" s="197" t="s">
        <v>220</v>
      </c>
      <c r="G41" s="197" t="s">
        <v>220</v>
      </c>
      <c r="H41" s="197" t="s">
        <v>220</v>
      </c>
      <c r="I41" s="197" t="s">
        <v>220</v>
      </c>
      <c r="J41" s="197" t="s">
        <v>220</v>
      </c>
      <c r="K41" s="197" t="s">
        <v>220</v>
      </c>
    </row>
    <row r="42" spans="1:11" ht="28.5">
      <c r="A42" s="203" t="s">
        <v>247</v>
      </c>
      <c r="B42" s="197" t="s">
        <v>270</v>
      </c>
      <c r="C42" s="205" t="s">
        <v>283</v>
      </c>
      <c r="D42" s="208" t="s">
        <v>311</v>
      </c>
      <c r="E42" s="198" t="s">
        <v>18</v>
      </c>
      <c r="F42" s="197" t="s">
        <v>220</v>
      </c>
      <c r="G42" s="197" t="s">
        <v>220</v>
      </c>
      <c r="H42" s="197" t="s">
        <v>220</v>
      </c>
      <c r="I42" s="197" t="s">
        <v>220</v>
      </c>
      <c r="J42" s="197" t="s">
        <v>220</v>
      </c>
      <c r="K42" s="197" t="s">
        <v>220</v>
      </c>
    </row>
    <row r="43" spans="1:11">
      <c r="A43" s="203" t="s">
        <v>248</v>
      </c>
      <c r="B43" s="197" t="s">
        <v>270</v>
      </c>
      <c r="C43" s="205" t="s">
        <v>240</v>
      </c>
      <c r="D43" s="208" t="s">
        <v>312</v>
      </c>
      <c r="E43" s="198" t="s">
        <v>18</v>
      </c>
      <c r="F43" s="197" t="s">
        <v>220</v>
      </c>
      <c r="G43" s="197" t="s">
        <v>220</v>
      </c>
      <c r="H43" s="197" t="s">
        <v>220</v>
      </c>
      <c r="I43" s="197" t="s">
        <v>220</v>
      </c>
      <c r="J43" s="197" t="s">
        <v>220</v>
      </c>
      <c r="K43" s="197" t="s">
        <v>220</v>
      </c>
    </row>
    <row r="44" spans="1:11" ht="28.5">
      <c r="A44" s="203" t="s">
        <v>250</v>
      </c>
      <c r="B44" s="197" t="s">
        <v>270</v>
      </c>
      <c r="C44" s="205" t="s">
        <v>284</v>
      </c>
      <c r="D44" s="208" t="s">
        <v>313</v>
      </c>
      <c r="E44" s="198" t="s">
        <v>18</v>
      </c>
      <c r="F44" s="197" t="s">
        <v>220</v>
      </c>
      <c r="G44" s="197" t="s">
        <v>220</v>
      </c>
      <c r="H44" s="197" t="s">
        <v>249</v>
      </c>
      <c r="I44" s="197" t="s">
        <v>220</v>
      </c>
      <c r="J44" s="197" t="s">
        <v>220</v>
      </c>
      <c r="K44" s="197" t="s">
        <v>220</v>
      </c>
    </row>
    <row r="45" spans="1:11">
      <c r="A45" s="202" t="s">
        <v>253</v>
      </c>
      <c r="B45" s="201"/>
      <c r="C45" s="206"/>
      <c r="D45" s="209"/>
      <c r="E45" s="200"/>
      <c r="F45" s="201"/>
      <c r="G45" s="201"/>
      <c r="H45" s="201"/>
      <c r="I45" s="201"/>
      <c r="J45" s="201"/>
      <c r="K45" s="201"/>
    </row>
    <row r="46" spans="1:11">
      <c r="A46" s="203" t="s">
        <v>233</v>
      </c>
      <c r="B46" s="197" t="s">
        <v>270</v>
      </c>
      <c r="C46" s="205" t="s">
        <v>260</v>
      </c>
      <c r="D46" s="208" t="s">
        <v>318</v>
      </c>
      <c r="E46" s="198" t="s">
        <v>268</v>
      </c>
      <c r="F46" s="197" t="s">
        <v>220</v>
      </c>
      <c r="G46" s="197" t="s">
        <v>220</v>
      </c>
      <c r="H46" s="197" t="s">
        <v>220</v>
      </c>
      <c r="I46" s="197" t="s">
        <v>220</v>
      </c>
      <c r="J46" s="197" t="s">
        <v>220</v>
      </c>
      <c r="K46" s="197" t="s">
        <v>220</v>
      </c>
    </row>
    <row r="47" spans="1:11" ht="28.5">
      <c r="A47" s="203" t="s">
        <v>233</v>
      </c>
      <c r="B47" s="197" t="s">
        <v>270</v>
      </c>
      <c r="C47" s="205" t="s">
        <v>261</v>
      </c>
      <c r="D47" s="208" t="s">
        <v>314</v>
      </c>
      <c r="E47" s="198" t="s">
        <v>268</v>
      </c>
      <c r="F47" s="197" t="s">
        <v>220</v>
      </c>
      <c r="G47" s="197" t="s">
        <v>220</v>
      </c>
      <c r="H47" s="197" t="s">
        <v>220</v>
      </c>
      <c r="I47" s="197" t="s">
        <v>220</v>
      </c>
      <c r="J47" s="197" t="s">
        <v>220</v>
      </c>
      <c r="K47" s="197" t="s">
        <v>220</v>
      </c>
    </row>
    <row r="48" spans="1:11">
      <c r="A48" s="203" t="s">
        <v>233</v>
      </c>
      <c r="B48" s="197" t="s">
        <v>270</v>
      </c>
      <c r="C48" s="205" t="s">
        <v>262</v>
      </c>
      <c r="D48" s="208" t="s">
        <v>316</v>
      </c>
      <c r="E48" s="198" t="s">
        <v>268</v>
      </c>
      <c r="F48" s="197" t="s">
        <v>220</v>
      </c>
      <c r="G48" s="197" t="s">
        <v>220</v>
      </c>
      <c r="H48" s="197" t="s">
        <v>220</v>
      </c>
      <c r="I48" s="197" t="s">
        <v>220</v>
      </c>
      <c r="J48" s="197" t="s">
        <v>220</v>
      </c>
      <c r="K48" s="197" t="s">
        <v>220</v>
      </c>
    </row>
    <row r="49" spans="1:11">
      <c r="A49" s="203" t="s">
        <v>233</v>
      </c>
      <c r="B49" s="197" t="s">
        <v>270</v>
      </c>
      <c r="C49" s="205" t="s">
        <v>263</v>
      </c>
      <c r="D49" s="208" t="s">
        <v>315</v>
      </c>
      <c r="E49" s="198" t="s">
        <v>18</v>
      </c>
      <c r="F49" s="197" t="s">
        <v>220</v>
      </c>
      <c r="G49" s="197" t="s">
        <v>220</v>
      </c>
      <c r="H49" s="197" t="s">
        <v>220</v>
      </c>
      <c r="I49" s="197" t="s">
        <v>220</v>
      </c>
      <c r="J49" s="197" t="s">
        <v>220</v>
      </c>
      <c r="K49" s="197" t="s">
        <v>220</v>
      </c>
    </row>
    <row r="50" spans="1:11">
      <c r="A50" s="203" t="s">
        <v>233</v>
      </c>
      <c r="B50" s="197" t="s">
        <v>270</v>
      </c>
      <c r="C50" s="205" t="s">
        <v>285</v>
      </c>
      <c r="D50" s="208" t="s">
        <v>301</v>
      </c>
      <c r="E50" s="198" t="s">
        <v>18</v>
      </c>
      <c r="F50" s="197" t="s">
        <v>220</v>
      </c>
      <c r="G50" s="197" t="s">
        <v>220</v>
      </c>
      <c r="H50" s="197" t="s">
        <v>220</v>
      </c>
      <c r="I50" s="197" t="s">
        <v>220</v>
      </c>
      <c r="J50" s="197" t="s">
        <v>220</v>
      </c>
      <c r="K50" s="197" t="s">
        <v>220</v>
      </c>
    </row>
    <row r="51" spans="1:11">
      <c r="A51" s="203" t="s">
        <v>233</v>
      </c>
      <c r="B51" s="197" t="s">
        <v>270</v>
      </c>
      <c r="C51" s="205" t="s">
        <v>286</v>
      </c>
      <c r="D51" s="208" t="s">
        <v>300</v>
      </c>
      <c r="E51" s="198" t="s">
        <v>18</v>
      </c>
      <c r="F51" s="197" t="s">
        <v>220</v>
      </c>
      <c r="G51" s="197" t="s">
        <v>220</v>
      </c>
      <c r="H51" s="197" t="s">
        <v>220</v>
      </c>
      <c r="I51" s="197" t="s">
        <v>220</v>
      </c>
      <c r="J51" s="197" t="s">
        <v>220</v>
      </c>
      <c r="K51" s="197" t="s">
        <v>220</v>
      </c>
    </row>
    <row r="52" spans="1:11">
      <c r="A52" s="203" t="s">
        <v>233</v>
      </c>
      <c r="B52" s="197" t="s">
        <v>270</v>
      </c>
      <c r="C52" s="205" t="s">
        <v>287</v>
      </c>
      <c r="D52" s="208" t="s">
        <v>299</v>
      </c>
      <c r="E52" s="198" t="s">
        <v>18</v>
      </c>
      <c r="F52" s="197" t="s">
        <v>220</v>
      </c>
      <c r="G52" s="197" t="s">
        <v>220</v>
      </c>
      <c r="H52" s="197" t="s">
        <v>220</v>
      </c>
      <c r="I52" s="197" t="s">
        <v>220</v>
      </c>
      <c r="J52" s="197" t="s">
        <v>220</v>
      </c>
      <c r="K52" s="197" t="s">
        <v>220</v>
      </c>
    </row>
    <row r="53" spans="1:11">
      <c r="A53" s="203" t="s">
        <v>233</v>
      </c>
      <c r="B53" s="197" t="s">
        <v>270</v>
      </c>
      <c r="C53" s="205" t="s">
        <v>288</v>
      </c>
      <c r="D53" s="208" t="s">
        <v>298</v>
      </c>
      <c r="E53" s="198" t="s">
        <v>18</v>
      </c>
      <c r="F53" s="197" t="s">
        <v>220</v>
      </c>
      <c r="G53" s="197" t="s">
        <v>220</v>
      </c>
      <c r="H53" s="197" t="s">
        <v>220</v>
      </c>
      <c r="I53" s="197" t="s">
        <v>220</v>
      </c>
      <c r="J53" s="197" t="s">
        <v>220</v>
      </c>
      <c r="K53" s="197" t="s">
        <v>220</v>
      </c>
    </row>
    <row r="54" spans="1:11">
      <c r="A54" s="204" t="s">
        <v>254</v>
      </c>
      <c r="B54" s="201"/>
      <c r="C54" s="206"/>
      <c r="D54" s="209"/>
      <c r="E54" s="200"/>
      <c r="F54" s="201"/>
      <c r="G54" s="201"/>
      <c r="H54" s="201"/>
      <c r="I54" s="201"/>
      <c r="J54" s="201"/>
      <c r="K54" s="201"/>
    </row>
    <row r="55" spans="1:11" ht="28.5">
      <c r="A55" s="203" t="s">
        <v>320</v>
      </c>
      <c r="B55" s="197" t="s">
        <v>270</v>
      </c>
      <c r="C55" s="205" t="s">
        <v>321</v>
      </c>
      <c r="D55" s="208" t="s">
        <v>322</v>
      </c>
      <c r="E55" s="198" t="s">
        <v>18</v>
      </c>
      <c r="F55" s="197" t="s">
        <v>219</v>
      </c>
      <c r="G55" s="197" t="s">
        <v>219</v>
      </c>
      <c r="H55" s="197" t="s">
        <v>219</v>
      </c>
      <c r="I55" s="197" t="s">
        <v>219</v>
      </c>
      <c r="J55" s="197" t="s">
        <v>219</v>
      </c>
      <c r="K55" s="197" t="s">
        <v>219</v>
      </c>
    </row>
    <row r="56" spans="1:11">
      <c r="A56" s="203"/>
      <c r="B56" s="197"/>
      <c r="C56" s="205"/>
      <c r="D56" s="208"/>
      <c r="E56" s="198"/>
      <c r="F56" s="197"/>
      <c r="G56" s="197"/>
      <c r="H56" s="197"/>
      <c r="I56" s="197"/>
      <c r="J56" s="197"/>
      <c r="K56" s="197"/>
    </row>
    <row r="57" spans="1:11">
      <c r="A57" s="204" t="s">
        <v>255</v>
      </c>
      <c r="B57" s="201"/>
      <c r="C57" s="206"/>
      <c r="D57" s="209"/>
      <c r="E57" s="200"/>
      <c r="F57" s="201"/>
      <c r="G57" s="201"/>
      <c r="H57" s="201"/>
      <c r="I57" s="201"/>
      <c r="J57" s="201"/>
      <c r="K57" s="201"/>
    </row>
    <row r="58" spans="1:11">
      <c r="A58" s="203" t="s">
        <v>255</v>
      </c>
      <c r="B58" s="197" t="s">
        <v>323</v>
      </c>
      <c r="C58" s="205" t="s">
        <v>256</v>
      </c>
      <c r="D58" s="208" t="s">
        <v>317</v>
      </c>
      <c r="E58" s="198" t="s">
        <v>268</v>
      </c>
      <c r="F58" s="197" t="s">
        <v>220</v>
      </c>
      <c r="G58" s="197" t="s">
        <v>220</v>
      </c>
      <c r="H58" s="197" t="s">
        <v>220</v>
      </c>
      <c r="I58" s="197" t="s">
        <v>220</v>
      </c>
      <c r="J58" s="197" t="s">
        <v>220</v>
      </c>
      <c r="K58" s="197" t="s">
        <v>220</v>
      </c>
    </row>
    <row r="59" spans="1:11">
      <c r="A59" s="203" t="s">
        <v>255</v>
      </c>
      <c r="B59" s="197" t="s">
        <v>323</v>
      </c>
      <c r="C59" s="207" t="s">
        <v>264</v>
      </c>
      <c r="D59" s="210" t="s">
        <v>317</v>
      </c>
      <c r="E59" s="196" t="s">
        <v>268</v>
      </c>
      <c r="F59" s="197" t="s">
        <v>220</v>
      </c>
      <c r="G59" s="197" t="s">
        <v>220</v>
      </c>
      <c r="H59" s="197" t="s">
        <v>220</v>
      </c>
      <c r="I59" s="197" t="s">
        <v>220</v>
      </c>
      <c r="J59" s="197" t="s">
        <v>220</v>
      </c>
      <c r="K59" s="197" t="s">
        <v>220</v>
      </c>
    </row>
    <row r="60" spans="1:11">
      <c r="A60" s="203" t="s">
        <v>255</v>
      </c>
      <c r="B60" s="197" t="s">
        <v>323</v>
      </c>
      <c r="C60" s="205" t="s">
        <v>257</v>
      </c>
      <c r="D60" s="208" t="s">
        <v>319</v>
      </c>
      <c r="E60" s="198" t="s">
        <v>268</v>
      </c>
      <c r="F60" s="197" t="s">
        <v>220</v>
      </c>
      <c r="G60" s="197" t="s">
        <v>220</v>
      </c>
      <c r="H60" s="197" t="s">
        <v>220</v>
      </c>
      <c r="I60" s="197" t="s">
        <v>220</v>
      </c>
      <c r="J60" s="197" t="s">
        <v>220</v>
      </c>
      <c r="K60" s="197" t="s">
        <v>220</v>
      </c>
    </row>
    <row r="61" spans="1:11">
      <c r="A61" s="203" t="s">
        <v>255</v>
      </c>
      <c r="B61" s="197" t="s">
        <v>323</v>
      </c>
      <c r="C61" s="205" t="s">
        <v>258</v>
      </c>
      <c r="D61" s="208" t="s">
        <v>319</v>
      </c>
      <c r="E61" s="198" t="s">
        <v>268</v>
      </c>
      <c r="F61" s="197" t="s">
        <v>220</v>
      </c>
      <c r="G61" s="197" t="s">
        <v>220</v>
      </c>
      <c r="H61" s="197" t="s">
        <v>220</v>
      </c>
      <c r="I61" s="197" t="s">
        <v>220</v>
      </c>
      <c r="J61" s="197" t="s">
        <v>220</v>
      </c>
      <c r="K61" s="197" t="s">
        <v>220</v>
      </c>
    </row>
    <row r="62" spans="1:11">
      <c r="A62" s="203" t="s">
        <v>255</v>
      </c>
      <c r="B62" s="197" t="s">
        <v>323</v>
      </c>
      <c r="C62" s="205" t="s">
        <v>259</v>
      </c>
      <c r="D62" s="208" t="s">
        <v>319</v>
      </c>
      <c r="E62" s="198" t="s">
        <v>268</v>
      </c>
      <c r="F62" s="197" t="s">
        <v>220</v>
      </c>
      <c r="G62" s="197" t="s">
        <v>220</v>
      </c>
      <c r="H62" s="197" t="s">
        <v>220</v>
      </c>
      <c r="I62" s="197" t="s">
        <v>220</v>
      </c>
      <c r="J62" s="197" t="s">
        <v>220</v>
      </c>
      <c r="K62" s="197" t="s">
        <v>220</v>
      </c>
    </row>
    <row r="63" spans="1:11" ht="28.5">
      <c r="A63" s="203" t="s">
        <v>255</v>
      </c>
      <c r="B63" s="197" t="s">
        <v>323</v>
      </c>
      <c r="C63" s="205" t="s">
        <v>289</v>
      </c>
      <c r="D63" s="208" t="s">
        <v>292</v>
      </c>
      <c r="E63" s="198" t="s">
        <v>18</v>
      </c>
      <c r="F63" s="197" t="s">
        <v>220</v>
      </c>
      <c r="G63" s="197" t="s">
        <v>220</v>
      </c>
      <c r="H63" s="197" t="s">
        <v>249</v>
      </c>
      <c r="I63" s="197" t="s">
        <v>220</v>
      </c>
      <c r="J63" s="197" t="s">
        <v>220</v>
      </c>
      <c r="K63" s="197" t="s">
        <v>220</v>
      </c>
    </row>
    <row r="64" spans="1:11" ht="28.5">
      <c r="A64" s="203" t="s">
        <v>255</v>
      </c>
      <c r="B64" s="197" t="s">
        <v>323</v>
      </c>
      <c r="C64" s="205" t="s">
        <v>290</v>
      </c>
      <c r="D64" s="208" t="s">
        <v>291</v>
      </c>
      <c r="E64" s="198" t="s">
        <v>18</v>
      </c>
      <c r="F64" s="197" t="s">
        <v>220</v>
      </c>
      <c r="G64" s="197" t="s">
        <v>220</v>
      </c>
      <c r="H64" s="197" t="s">
        <v>220</v>
      </c>
      <c r="I64" s="197" t="s">
        <v>220</v>
      </c>
      <c r="J64" s="197" t="s">
        <v>220</v>
      </c>
      <c r="K64" s="197" t="s">
        <v>220</v>
      </c>
    </row>
    <row r="65" spans="1:11" ht="28.5">
      <c r="A65" s="203" t="s">
        <v>255</v>
      </c>
      <c r="B65" s="197" t="s">
        <v>323</v>
      </c>
      <c r="C65" s="205" t="s">
        <v>293</v>
      </c>
      <c r="D65" s="208" t="s">
        <v>279</v>
      </c>
      <c r="E65" s="198" t="s">
        <v>18</v>
      </c>
      <c r="F65" s="197" t="s">
        <v>220</v>
      </c>
      <c r="G65" s="197" t="s">
        <v>220</v>
      </c>
      <c r="H65" s="197" t="s">
        <v>220</v>
      </c>
      <c r="I65" s="197" t="s">
        <v>220</v>
      </c>
      <c r="J65" s="197" t="s">
        <v>220</v>
      </c>
      <c r="K65" s="197" t="s">
        <v>220</v>
      </c>
    </row>
    <row r="66" spans="1:11">
      <c r="A66" s="203" t="s">
        <v>255</v>
      </c>
      <c r="B66" s="197" t="s">
        <v>323</v>
      </c>
      <c r="C66" s="205" t="s">
        <v>294</v>
      </c>
      <c r="D66" s="208" t="s">
        <v>295</v>
      </c>
      <c r="E66" s="198" t="s">
        <v>18</v>
      </c>
      <c r="F66" s="197" t="s">
        <v>220</v>
      </c>
      <c r="G66" s="197" t="s">
        <v>220</v>
      </c>
      <c r="H66" s="197" t="s">
        <v>220</v>
      </c>
      <c r="I66" s="197" t="s">
        <v>220</v>
      </c>
      <c r="J66" s="197" t="s">
        <v>220</v>
      </c>
      <c r="K66" s="197" t="s">
        <v>220</v>
      </c>
    </row>
    <row r="67" spans="1:11" ht="28.5">
      <c r="A67" s="203" t="s">
        <v>255</v>
      </c>
      <c r="B67" s="197" t="s">
        <v>323</v>
      </c>
      <c r="C67" s="205" t="s">
        <v>296</v>
      </c>
      <c r="D67" s="208" t="s">
        <v>297</v>
      </c>
      <c r="E67" s="198" t="s">
        <v>18</v>
      </c>
      <c r="F67" s="197" t="s">
        <v>220</v>
      </c>
      <c r="G67" s="197" t="s">
        <v>220</v>
      </c>
      <c r="H67" s="197" t="s">
        <v>220</v>
      </c>
      <c r="I67" s="197" t="s">
        <v>220</v>
      </c>
      <c r="J67" s="197" t="s">
        <v>220</v>
      </c>
      <c r="K67" s="197" t="s">
        <v>220</v>
      </c>
    </row>
    <row r="68" spans="1:11">
      <c r="A68" s="203"/>
      <c r="B68" s="197"/>
      <c r="C68" s="205"/>
      <c r="D68" s="208"/>
      <c r="E68" s="198"/>
      <c r="F68" s="197"/>
      <c r="G68" s="197"/>
      <c r="H68" s="197"/>
      <c r="I68" s="197"/>
      <c r="J68" s="197"/>
      <c r="K68" s="197"/>
    </row>
    <row r="69" spans="1:11">
      <c r="A69" s="203"/>
      <c r="B69" s="197"/>
      <c r="C69" s="205"/>
      <c r="D69" s="208"/>
      <c r="E69" s="198"/>
      <c r="F69" s="197"/>
      <c r="G69" s="197"/>
      <c r="H69" s="197"/>
      <c r="I69" s="197"/>
      <c r="J69" s="197"/>
      <c r="K69" s="197"/>
    </row>
  </sheetData>
  <autoFilter ref="A3:K69" xr:uid="{00000000-0009-0000-0000-000000000000}"/>
  <mergeCells count="3">
    <mergeCell ref="A1:G1"/>
    <mergeCell ref="F5:K7"/>
    <mergeCell ref="D9:D12"/>
  </mergeCells>
  <phoneticPr fontId="10"/>
  <pageMargins left="0.7" right="0.7" top="0.75" bottom="0.75" header="0.3" footer="0.3"/>
  <pageSetup paperSize="9" scale="60"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8"/>
  <sheetViews>
    <sheetView view="pageBreakPreview" zoomScaleNormal="100" workbookViewId="0">
      <selection activeCell="D31" sqref="D31"/>
    </sheetView>
  </sheetViews>
  <sheetFormatPr defaultRowHeight="13.5"/>
  <cols>
    <col min="1" max="1" width="8.625" style="95" customWidth="1"/>
    <col min="2" max="2" width="20.625" style="95" customWidth="1"/>
    <col min="3" max="3" width="31.625" style="95" customWidth="1"/>
    <col min="4" max="4" width="30.125" style="95" customWidth="1"/>
    <col min="5" max="16384" width="9" style="95"/>
  </cols>
  <sheetData>
    <row r="1" spans="1:8" ht="24" customHeight="1">
      <c r="D1" s="172" t="s">
        <v>124</v>
      </c>
    </row>
    <row r="2" spans="1:8" ht="21">
      <c r="A2" s="1042" t="s">
        <v>77</v>
      </c>
      <c r="B2" s="1042"/>
      <c r="C2" s="1042"/>
      <c r="D2" s="1042"/>
    </row>
    <row r="3" spans="1:8" ht="18" customHeight="1">
      <c r="A3" s="1043" t="s">
        <v>130</v>
      </c>
      <c r="B3" s="1043"/>
      <c r="C3" s="1043"/>
      <c r="D3" s="1043"/>
    </row>
    <row r="4" spans="1:8" ht="18" customHeight="1">
      <c r="A4" s="1044" t="s">
        <v>129</v>
      </c>
      <c r="B4" s="1044"/>
      <c r="C4" s="1044"/>
      <c r="D4" s="1044"/>
    </row>
    <row r="5" spans="1:8" s="3" customFormat="1" ht="15.75" customHeight="1">
      <c r="A5" s="1044"/>
      <c r="B5" s="1044"/>
      <c r="C5" s="1044"/>
      <c r="D5" s="1044"/>
      <c r="E5" s="51"/>
      <c r="F5" s="51"/>
      <c r="G5" s="51"/>
      <c r="H5" s="51"/>
    </row>
    <row r="6" spans="1:8" s="3" customFormat="1" ht="15.75" customHeight="1">
      <c r="A6" s="782" t="s">
        <v>87</v>
      </c>
      <c r="B6" s="782"/>
      <c r="C6" s="782"/>
      <c r="D6" s="782"/>
      <c r="E6" s="51"/>
      <c r="F6" s="51"/>
      <c r="G6" s="51"/>
      <c r="H6" s="51"/>
    </row>
    <row r="7" spans="1:8" ht="18" customHeight="1" thickBot="1">
      <c r="A7" s="96"/>
      <c r="B7" s="96"/>
      <c r="C7" s="96"/>
      <c r="D7" s="96"/>
    </row>
    <row r="8" spans="1:8" ht="18" customHeight="1" thickBot="1">
      <c r="A8" s="1037" t="s">
        <v>68</v>
      </c>
      <c r="B8" s="1038"/>
      <c r="C8" s="1038"/>
      <c r="D8" s="1039"/>
    </row>
    <row r="9" spans="1:8" ht="18.75" customHeight="1">
      <c r="A9" s="347"/>
      <c r="B9" s="346"/>
      <c r="C9" s="346"/>
      <c r="D9" s="348"/>
    </row>
    <row r="10" spans="1:8" ht="15" customHeight="1">
      <c r="A10" s="552"/>
      <c r="B10" s="355" t="str">
        <f>'(2)登録情報'!E32</f>
        <v>1冊あたり</v>
      </c>
      <c r="C10" s="349"/>
      <c r="D10" s="553"/>
    </row>
    <row r="11" spans="1:8" ht="15.75" customHeight="1">
      <c r="A11" s="552"/>
      <c r="B11" s="349"/>
      <c r="C11" s="349"/>
      <c r="D11" s="553"/>
    </row>
    <row r="12" spans="1:8" ht="25.5">
      <c r="A12" s="552"/>
      <c r="B12" s="360" t="e">
        <f>'(2)登録情報'!C32</f>
        <v>#DIV/0!</v>
      </c>
      <c r="C12" s="349"/>
      <c r="D12" s="553"/>
    </row>
    <row r="13" spans="1:8" ht="15.75" customHeight="1">
      <c r="A13" s="552"/>
      <c r="B13" s="349"/>
      <c r="C13" s="349"/>
      <c r="D13" s="553"/>
    </row>
    <row r="14" spans="1:8" ht="15.75" customHeight="1">
      <c r="A14" s="552"/>
      <c r="B14" s="349"/>
      <c r="C14" s="349"/>
      <c r="D14" s="553"/>
    </row>
    <row r="15" spans="1:8" ht="15.75" customHeight="1">
      <c r="A15" s="552"/>
      <c r="B15" s="349"/>
      <c r="C15" s="349"/>
      <c r="D15" s="553"/>
    </row>
    <row r="16" spans="1:8" ht="15.75" customHeight="1">
      <c r="A16" s="552"/>
      <c r="B16" s="349"/>
      <c r="C16" s="349"/>
      <c r="D16" s="553"/>
    </row>
    <row r="17" spans="1:4" ht="15.75" customHeight="1">
      <c r="A17" s="552"/>
      <c r="B17" s="349"/>
      <c r="C17" s="349"/>
      <c r="D17" s="553"/>
    </row>
    <row r="18" spans="1:4" ht="9.75" customHeight="1">
      <c r="A18" s="552"/>
      <c r="B18" s="349"/>
      <c r="C18" s="349"/>
      <c r="D18" s="553"/>
    </row>
    <row r="19" spans="1:4" ht="15.75" customHeight="1">
      <c r="A19" s="552"/>
      <c r="B19" s="352" t="s">
        <v>790</v>
      </c>
      <c r="C19" s="349"/>
      <c r="D19" s="553"/>
    </row>
    <row r="20" spans="1:4" ht="15.75" customHeight="1">
      <c r="A20" s="552"/>
      <c r="B20" s="352" t="s">
        <v>791</v>
      </c>
      <c r="C20" s="349"/>
      <c r="D20" s="553"/>
    </row>
    <row r="21" spans="1:4" ht="15.75" customHeight="1">
      <c r="A21" s="552"/>
      <c r="B21" s="351" t="s">
        <v>175</v>
      </c>
      <c r="C21" s="349"/>
      <c r="D21" s="553"/>
    </row>
    <row r="22" spans="1:4" ht="15.75" customHeight="1">
      <c r="A22" s="552"/>
      <c r="B22" s="554" t="s">
        <v>792</v>
      </c>
      <c r="C22" s="349"/>
      <c r="D22" s="553"/>
    </row>
    <row r="23" spans="1:4" ht="15.75" customHeight="1">
      <c r="A23" s="552"/>
      <c r="B23" s="554"/>
      <c r="C23" s="349"/>
      <c r="D23" s="553"/>
    </row>
    <row r="24" spans="1:4" ht="15.75" customHeight="1" thickBot="1">
      <c r="A24" s="555"/>
      <c r="B24" s="350"/>
      <c r="C24" s="350"/>
      <c r="D24" s="556"/>
    </row>
    <row r="25" spans="1:4" ht="18" customHeight="1">
      <c r="A25" s="97"/>
      <c r="B25" s="97"/>
      <c r="C25" s="97"/>
      <c r="D25" s="97"/>
    </row>
    <row r="26" spans="1:4" ht="96.75" customHeight="1">
      <c r="A26" s="1040" t="s">
        <v>88</v>
      </c>
      <c r="B26" s="1041"/>
      <c r="C26" s="1041"/>
      <c r="D26" s="1041"/>
    </row>
    <row r="28" spans="1:4">
      <c r="C28" s="98"/>
    </row>
  </sheetData>
  <sheetProtection password="ED51" sheet="1" objects="1" scenarios="1"/>
  <mergeCells count="6">
    <mergeCell ref="A8:D8"/>
    <mergeCell ref="A26:D26"/>
    <mergeCell ref="A2:D2"/>
    <mergeCell ref="A3:D3"/>
    <mergeCell ref="A6:D6"/>
    <mergeCell ref="A4:D5"/>
  </mergeCells>
  <phoneticPr fontId="10"/>
  <printOptions horizontalCentered="1"/>
  <pageMargins left="0.70866141732283472" right="0.70866141732283472" top="0.78740157480314965" bottom="0.78740157480314965" header="0" footer="0"/>
  <pageSetup paperSize="9" scale="98"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
  <sheetViews>
    <sheetView view="pageBreakPreview" zoomScaleNormal="100" zoomScaleSheetLayoutView="100" workbookViewId="0">
      <selection activeCell="C43" sqref="C43"/>
    </sheetView>
  </sheetViews>
  <sheetFormatPr defaultRowHeight="13.5"/>
  <cols>
    <col min="1" max="7" width="9" style="74"/>
    <col min="8" max="8" width="11" style="74" bestFit="1" customWidth="1"/>
    <col min="9" max="16384" width="9" style="74"/>
  </cols>
  <sheetData>
    <row r="1" spans="1:11">
      <c r="A1" s="4" t="s">
        <v>131</v>
      </c>
    </row>
    <row r="3" spans="1:11">
      <c r="A3" s="73" t="s">
        <v>51</v>
      </c>
      <c r="B3" s="414">
        <f>個別製品情報入力シート!C4</f>
        <v>0</v>
      </c>
      <c r="C3" s="73"/>
      <c r="D3" s="73"/>
      <c r="E3" s="73" t="s">
        <v>52</v>
      </c>
      <c r="F3" s="414">
        <f>個別製品情報入力シート!C14</f>
        <v>0</v>
      </c>
      <c r="G3" s="73"/>
      <c r="H3" s="73" t="s">
        <v>840</v>
      </c>
      <c r="I3" s="73" t="str">
        <f>'(2)登録情報'!C41</f>
        <v>商業および一般証券印刷物</v>
      </c>
      <c r="J3" s="73"/>
      <c r="K3" s="73"/>
    </row>
  </sheetData>
  <sheetProtection password="ED51" sheet="1" objects="1" scenarios="1"/>
  <phoneticPr fontId="10"/>
  <pageMargins left="0.25" right="0.25"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E102"/>
  <sheetViews>
    <sheetView workbookViewId="0">
      <selection activeCell="C25" sqref="C25"/>
    </sheetView>
  </sheetViews>
  <sheetFormatPr defaultRowHeight="13.5"/>
  <cols>
    <col min="1" max="1" width="5.25" style="475" bestFit="1" customWidth="1"/>
    <col min="2" max="2" width="12.25" style="475" bestFit="1" customWidth="1"/>
    <col min="3" max="3" width="61.625" style="61" customWidth="1"/>
    <col min="4" max="4" width="12.5" style="475" bestFit="1" customWidth="1"/>
    <col min="5" max="5" width="57" style="364" customWidth="1"/>
    <col min="6" max="16384" width="9" style="364"/>
  </cols>
  <sheetData>
    <row r="1" spans="1:5" ht="18.75">
      <c r="A1" s="708" t="s">
        <v>1302</v>
      </c>
      <c r="B1" s="708"/>
      <c r="C1" s="708"/>
    </row>
    <row r="2" spans="1:5">
      <c r="A2" s="371" t="s">
        <v>1086</v>
      </c>
      <c r="B2" s="329" t="s">
        <v>815</v>
      </c>
      <c r="C2" s="400" t="s">
        <v>796</v>
      </c>
      <c r="D2" s="329" t="s">
        <v>784</v>
      </c>
      <c r="E2" s="329" t="s">
        <v>785</v>
      </c>
    </row>
    <row r="3" spans="1:5">
      <c r="A3" s="371"/>
      <c r="B3" s="558"/>
      <c r="C3" s="401"/>
      <c r="D3" s="558"/>
      <c r="E3" s="558"/>
    </row>
    <row r="4" spans="1:5">
      <c r="A4" s="371"/>
      <c r="B4" s="558"/>
      <c r="C4" s="401"/>
      <c r="D4" s="558"/>
      <c r="E4" s="558"/>
    </row>
    <row r="5" spans="1:5">
      <c r="A5" s="569"/>
      <c r="B5" s="569"/>
      <c r="C5" s="570" t="s">
        <v>1340</v>
      </c>
      <c r="D5" s="682">
        <v>43346</v>
      </c>
      <c r="E5" s="569"/>
    </row>
    <row r="6" spans="1:5">
      <c r="A6" s="371"/>
      <c r="B6" s="558" t="s">
        <v>1341</v>
      </c>
      <c r="C6" s="401" t="s">
        <v>1342</v>
      </c>
      <c r="D6" s="650">
        <v>43346</v>
      </c>
      <c r="E6" s="476" t="s">
        <v>1343</v>
      </c>
    </row>
    <row r="7" spans="1:5">
      <c r="A7" s="569"/>
      <c r="B7" s="569"/>
      <c r="C7" s="570" t="s">
        <v>1338</v>
      </c>
      <c r="D7" s="682">
        <v>43237</v>
      </c>
      <c r="E7" s="569"/>
    </row>
    <row r="8" spans="1:5">
      <c r="A8" s="371"/>
      <c r="B8" s="558" t="s">
        <v>1334</v>
      </c>
      <c r="C8" s="401" t="s">
        <v>1335</v>
      </c>
      <c r="D8" s="650">
        <v>43237</v>
      </c>
      <c r="E8" s="476" t="s">
        <v>1333</v>
      </c>
    </row>
    <row r="9" spans="1:5">
      <c r="A9" s="371"/>
      <c r="B9" s="558" t="s">
        <v>1334</v>
      </c>
      <c r="C9" s="401" t="s">
        <v>1332</v>
      </c>
      <c r="D9" s="650">
        <v>43236</v>
      </c>
      <c r="E9" s="476" t="s">
        <v>1333</v>
      </c>
    </row>
    <row r="10" spans="1:5">
      <c r="A10" s="371"/>
      <c r="B10" s="558" t="s">
        <v>1336</v>
      </c>
      <c r="C10" s="401" t="s">
        <v>1337</v>
      </c>
      <c r="D10" s="650">
        <v>43217</v>
      </c>
      <c r="E10" s="476" t="s">
        <v>1333</v>
      </c>
    </row>
    <row r="11" spans="1:5">
      <c r="A11" s="569"/>
      <c r="B11" s="569"/>
      <c r="C11" s="570" t="s">
        <v>1328</v>
      </c>
      <c r="D11" s="682">
        <v>42998</v>
      </c>
      <c r="E11" s="569"/>
    </row>
    <row r="12" spans="1:5">
      <c r="A12" s="371"/>
      <c r="B12" s="558" t="s">
        <v>1324</v>
      </c>
      <c r="C12" s="401" t="s">
        <v>1326</v>
      </c>
      <c r="D12" s="650">
        <v>42998</v>
      </c>
      <c r="E12" s="476" t="s">
        <v>1327</v>
      </c>
    </row>
    <row r="13" spans="1:5">
      <c r="A13" s="371"/>
      <c r="B13" s="558" t="s">
        <v>1324</v>
      </c>
      <c r="C13" s="401" t="s">
        <v>1325</v>
      </c>
      <c r="D13" s="684">
        <v>42998</v>
      </c>
      <c r="E13" s="476" t="s">
        <v>1327</v>
      </c>
    </row>
    <row r="14" spans="1:5" ht="27">
      <c r="A14" s="371"/>
      <c r="B14" s="558" t="s">
        <v>1319</v>
      </c>
      <c r="C14" s="401" t="s">
        <v>1323</v>
      </c>
      <c r="D14" s="684">
        <v>42998</v>
      </c>
      <c r="E14" s="476" t="s">
        <v>1327</v>
      </c>
    </row>
    <row r="15" spans="1:5">
      <c r="A15" s="371"/>
      <c r="B15" s="558" t="s">
        <v>1319</v>
      </c>
      <c r="C15" s="401" t="s">
        <v>1322</v>
      </c>
      <c r="D15" s="684">
        <v>42998</v>
      </c>
      <c r="E15" s="476" t="s">
        <v>1327</v>
      </c>
    </row>
    <row r="16" spans="1:5">
      <c r="A16" s="371"/>
      <c r="B16" s="558" t="s">
        <v>1319</v>
      </c>
      <c r="C16" s="401" t="s">
        <v>1321</v>
      </c>
      <c r="D16" s="684">
        <v>42998</v>
      </c>
      <c r="E16" s="476" t="s">
        <v>1327</v>
      </c>
    </row>
    <row r="17" spans="1:5">
      <c r="A17" s="371"/>
      <c r="B17" s="558" t="s">
        <v>1319</v>
      </c>
      <c r="C17" s="401" t="s">
        <v>1320</v>
      </c>
      <c r="D17" s="684">
        <v>42998</v>
      </c>
      <c r="E17" s="476" t="s">
        <v>1327</v>
      </c>
    </row>
    <row r="18" spans="1:5">
      <c r="A18" s="569"/>
      <c r="B18" s="569"/>
      <c r="C18" s="570" t="s">
        <v>1301</v>
      </c>
      <c r="D18" s="682">
        <v>42936</v>
      </c>
      <c r="E18" s="569"/>
    </row>
    <row r="19" spans="1:5">
      <c r="A19" s="371"/>
      <c r="B19" s="558" t="s">
        <v>1079</v>
      </c>
      <c r="C19" s="401" t="s">
        <v>1299</v>
      </c>
      <c r="D19" s="650">
        <v>42935</v>
      </c>
      <c r="E19" s="558" t="s">
        <v>1300</v>
      </c>
    </row>
    <row r="20" spans="1:5" ht="27">
      <c r="A20" s="371"/>
      <c r="B20" s="558" t="s">
        <v>1296</v>
      </c>
      <c r="C20" s="401" t="s">
        <v>1297</v>
      </c>
      <c r="D20" s="650">
        <v>42935</v>
      </c>
      <c r="E20" s="484" t="s">
        <v>1298</v>
      </c>
    </row>
    <row r="21" spans="1:5">
      <c r="A21" s="371"/>
      <c r="B21" s="558" t="s">
        <v>1250</v>
      </c>
      <c r="C21" s="401" t="s">
        <v>1251</v>
      </c>
      <c r="D21" s="650">
        <v>42923</v>
      </c>
      <c r="E21" s="558"/>
    </row>
    <row r="22" spans="1:5">
      <c r="A22" s="371"/>
      <c r="B22" s="558" t="s">
        <v>1248</v>
      </c>
      <c r="C22" s="401" t="s">
        <v>1249</v>
      </c>
      <c r="D22" s="650">
        <v>42887</v>
      </c>
      <c r="E22" s="558"/>
    </row>
    <row r="23" spans="1:5" ht="27">
      <c r="A23" s="371">
        <v>80</v>
      </c>
      <c r="B23" s="651" t="s">
        <v>1242</v>
      </c>
      <c r="C23" s="401" t="s">
        <v>1243</v>
      </c>
      <c r="D23" s="650">
        <v>42837</v>
      </c>
      <c r="E23" s="476" t="s">
        <v>1219</v>
      </c>
    </row>
    <row r="24" spans="1:5" ht="24.75" customHeight="1">
      <c r="A24" s="371">
        <v>79</v>
      </c>
      <c r="B24" s="558" t="s">
        <v>1220</v>
      </c>
      <c r="C24" s="401" t="s">
        <v>1244</v>
      </c>
      <c r="D24" s="650">
        <v>42837</v>
      </c>
      <c r="E24" s="476" t="s">
        <v>1219</v>
      </c>
    </row>
    <row r="25" spans="1:5" ht="40.5">
      <c r="A25" s="371">
        <v>78</v>
      </c>
      <c r="B25" s="558" t="s">
        <v>1132</v>
      </c>
      <c r="C25" s="401" t="s">
        <v>1247</v>
      </c>
      <c r="D25" s="651" t="s">
        <v>1221</v>
      </c>
      <c r="E25" s="558"/>
    </row>
    <row r="26" spans="1:5" ht="54">
      <c r="A26" s="371">
        <v>77</v>
      </c>
      <c r="B26" s="558" t="s">
        <v>812</v>
      </c>
      <c r="C26" s="480" t="s">
        <v>811</v>
      </c>
      <c r="D26" s="481" t="s">
        <v>883</v>
      </c>
      <c r="E26" s="482" t="s">
        <v>868</v>
      </c>
    </row>
    <row r="27" spans="1:5" ht="40.5">
      <c r="A27" s="371">
        <v>76</v>
      </c>
      <c r="B27" s="486" t="s">
        <v>1063</v>
      </c>
      <c r="C27" s="485" t="s">
        <v>1043</v>
      </c>
      <c r="D27" s="486" t="s">
        <v>882</v>
      </c>
      <c r="E27" s="485" t="s">
        <v>1062</v>
      </c>
    </row>
    <row r="28" spans="1:5" ht="80.25" customHeight="1">
      <c r="A28" s="371">
        <v>75</v>
      </c>
      <c r="B28" s="561" t="s">
        <v>812</v>
      </c>
      <c r="C28" s="485" t="s">
        <v>880</v>
      </c>
      <c r="D28" s="486" t="s">
        <v>882</v>
      </c>
      <c r="E28" s="485" t="s">
        <v>1085</v>
      </c>
    </row>
    <row r="29" spans="1:5" ht="67.5">
      <c r="A29" s="371">
        <v>74</v>
      </c>
      <c r="B29" s="558" t="s">
        <v>812</v>
      </c>
      <c r="C29" s="480" t="s">
        <v>846</v>
      </c>
      <c r="D29" s="483" t="s">
        <v>882</v>
      </c>
      <c r="E29" s="484" t="s">
        <v>1084</v>
      </c>
    </row>
    <row r="30" spans="1:5" ht="67.5">
      <c r="A30" s="371">
        <v>73</v>
      </c>
      <c r="B30" s="562" t="s">
        <v>1069</v>
      </c>
      <c r="C30" s="508" t="s">
        <v>1070</v>
      </c>
      <c r="D30" s="509" t="s">
        <v>882</v>
      </c>
      <c r="E30" s="507"/>
    </row>
    <row r="31" spans="1:5" ht="54">
      <c r="A31" s="371">
        <v>72</v>
      </c>
      <c r="B31" s="562" t="s">
        <v>1048</v>
      </c>
      <c r="C31" s="512" t="s">
        <v>1067</v>
      </c>
      <c r="D31" s="509" t="s">
        <v>882</v>
      </c>
      <c r="E31" s="511" t="s">
        <v>1068</v>
      </c>
    </row>
    <row r="32" spans="1:5" ht="54">
      <c r="A32" s="371">
        <v>71</v>
      </c>
      <c r="B32" s="562" t="s">
        <v>1048</v>
      </c>
      <c r="C32" s="512" t="s">
        <v>1051</v>
      </c>
      <c r="D32" s="509" t="s">
        <v>882</v>
      </c>
      <c r="E32" s="511"/>
    </row>
    <row r="33" spans="1:5" ht="54" customHeight="1">
      <c r="A33" s="371">
        <v>70</v>
      </c>
      <c r="B33" s="562" t="s">
        <v>812</v>
      </c>
      <c r="C33" s="510" t="s">
        <v>853</v>
      </c>
      <c r="D33" s="509" t="s">
        <v>882</v>
      </c>
      <c r="E33" s="511" t="s">
        <v>871</v>
      </c>
    </row>
    <row r="34" spans="1:5" ht="108">
      <c r="A34" s="371">
        <v>69</v>
      </c>
      <c r="B34" s="562" t="s">
        <v>812</v>
      </c>
      <c r="C34" s="508" t="s">
        <v>838</v>
      </c>
      <c r="D34" s="509" t="s">
        <v>882</v>
      </c>
      <c r="E34" s="508" t="s">
        <v>884</v>
      </c>
    </row>
    <row r="35" spans="1:5" ht="40.5">
      <c r="A35" s="371">
        <v>68</v>
      </c>
      <c r="B35" s="563" t="s">
        <v>889</v>
      </c>
      <c r="C35" s="499" t="s">
        <v>890</v>
      </c>
      <c r="D35" s="500" t="s">
        <v>1027</v>
      </c>
      <c r="E35" s="499" t="s">
        <v>891</v>
      </c>
    </row>
    <row r="36" spans="1:5" ht="27">
      <c r="A36" s="371">
        <v>67</v>
      </c>
      <c r="B36" s="564" t="s">
        <v>816</v>
      </c>
      <c r="C36" s="497" t="s">
        <v>859</v>
      </c>
      <c r="D36" s="496" t="s">
        <v>963</v>
      </c>
      <c r="E36" s="498" t="s">
        <v>962</v>
      </c>
    </row>
    <row r="37" spans="1:5" ht="40.5">
      <c r="A37" s="371">
        <v>66</v>
      </c>
      <c r="B37" s="564" t="s">
        <v>814</v>
      </c>
      <c r="C37" s="495" t="s">
        <v>843</v>
      </c>
      <c r="D37" s="496" t="s">
        <v>875</v>
      </c>
      <c r="E37" s="494" t="s">
        <v>844</v>
      </c>
    </row>
    <row r="38" spans="1:5" ht="54">
      <c r="A38" s="371">
        <v>65</v>
      </c>
      <c r="B38" s="564" t="s">
        <v>816</v>
      </c>
      <c r="C38" s="495" t="s">
        <v>820</v>
      </c>
      <c r="D38" s="496" t="s">
        <v>875</v>
      </c>
      <c r="E38" s="528"/>
    </row>
    <row r="39" spans="1:5" ht="40.5">
      <c r="A39" s="371">
        <v>64</v>
      </c>
      <c r="B39" s="564" t="s">
        <v>816</v>
      </c>
      <c r="C39" s="495" t="s">
        <v>841</v>
      </c>
      <c r="D39" s="496" t="s">
        <v>875</v>
      </c>
      <c r="E39" s="528" t="s">
        <v>842</v>
      </c>
    </row>
    <row r="40" spans="1:5" ht="34.5" customHeight="1">
      <c r="A40" s="371">
        <v>63</v>
      </c>
      <c r="B40" s="532" t="s">
        <v>1093</v>
      </c>
      <c r="C40" s="533" t="s">
        <v>1092</v>
      </c>
      <c r="D40" s="658">
        <v>42773</v>
      </c>
      <c r="E40" s="532" t="s">
        <v>1245</v>
      </c>
    </row>
    <row r="41" spans="1:5" ht="40.5">
      <c r="A41" s="371">
        <v>62</v>
      </c>
      <c r="B41" s="573" t="s">
        <v>1172</v>
      </c>
      <c r="C41" s="574" t="s">
        <v>1173</v>
      </c>
      <c r="D41" s="575">
        <v>42773</v>
      </c>
      <c r="E41" s="576" t="s">
        <v>1174</v>
      </c>
    </row>
    <row r="42" spans="1:5" ht="54">
      <c r="A42" s="371">
        <v>61</v>
      </c>
      <c r="B42" s="569" t="s">
        <v>849</v>
      </c>
      <c r="C42" s="571" t="s">
        <v>1170</v>
      </c>
      <c r="D42" s="572">
        <v>42769</v>
      </c>
      <c r="E42" s="570" t="s">
        <v>1171</v>
      </c>
    </row>
    <row r="43" spans="1:5" ht="65.25" customHeight="1">
      <c r="A43" s="371">
        <v>60</v>
      </c>
      <c r="B43" s="559" t="s">
        <v>849</v>
      </c>
      <c r="C43" s="397" t="s">
        <v>1166</v>
      </c>
      <c r="D43" s="502">
        <v>42732</v>
      </c>
      <c r="E43" s="501" t="s">
        <v>1167</v>
      </c>
    </row>
    <row r="44" spans="1:5">
      <c r="A44" s="371">
        <v>59</v>
      </c>
      <c r="B44" s="559" t="s">
        <v>167</v>
      </c>
      <c r="C44" s="397" t="s">
        <v>1134</v>
      </c>
      <c r="D44" s="502">
        <v>42704</v>
      </c>
      <c r="E44" s="559" t="s">
        <v>1135</v>
      </c>
    </row>
    <row r="45" spans="1:5" ht="81">
      <c r="A45" s="371">
        <v>58</v>
      </c>
      <c r="B45" s="559" t="s">
        <v>814</v>
      </c>
      <c r="C45" s="397" t="s">
        <v>1130</v>
      </c>
      <c r="D45" s="502">
        <v>42705</v>
      </c>
      <c r="E45" s="559" t="s">
        <v>1131</v>
      </c>
    </row>
    <row r="46" spans="1:5" ht="54">
      <c r="A46" s="371">
        <v>57</v>
      </c>
      <c r="B46" s="565" t="s">
        <v>1107</v>
      </c>
      <c r="C46" s="540" t="s">
        <v>1108</v>
      </c>
      <c r="D46" s="541">
        <v>42692</v>
      </c>
      <c r="E46" s="397" t="s">
        <v>1109</v>
      </c>
    </row>
    <row r="47" spans="1:5" ht="67.5">
      <c r="A47" s="371">
        <v>56</v>
      </c>
      <c r="B47" s="559" t="s">
        <v>886</v>
      </c>
      <c r="C47" s="397" t="s">
        <v>1001</v>
      </c>
      <c r="D47" s="502">
        <v>42691</v>
      </c>
      <c r="E47" s="397" t="s">
        <v>1097</v>
      </c>
    </row>
    <row r="48" spans="1:5" ht="40.5">
      <c r="A48" s="371">
        <v>55</v>
      </c>
      <c r="B48" s="565" t="s">
        <v>1002</v>
      </c>
      <c r="C48" s="397" t="s">
        <v>1090</v>
      </c>
      <c r="D48" s="502">
        <v>42691</v>
      </c>
      <c r="E48" s="397" t="s">
        <v>1091</v>
      </c>
    </row>
    <row r="49" spans="1:5" ht="54">
      <c r="A49" s="371">
        <v>54</v>
      </c>
      <c r="B49" s="559" t="s">
        <v>1057</v>
      </c>
      <c r="C49" s="397" t="s">
        <v>1054</v>
      </c>
      <c r="D49" s="502" t="s">
        <v>1088</v>
      </c>
      <c r="E49" s="397" t="s">
        <v>1089</v>
      </c>
    </row>
    <row r="50" spans="1:5" ht="81">
      <c r="A50" s="371">
        <v>53</v>
      </c>
      <c r="B50" s="565" t="s">
        <v>1071</v>
      </c>
      <c r="C50" s="397" t="s">
        <v>1072</v>
      </c>
      <c r="D50" s="502">
        <v>42681</v>
      </c>
      <c r="E50" s="492" t="s">
        <v>1077</v>
      </c>
    </row>
    <row r="51" spans="1:5" ht="40.5">
      <c r="A51" s="371">
        <v>52</v>
      </c>
      <c r="B51" s="559" t="s">
        <v>1079</v>
      </c>
      <c r="C51" s="397" t="s">
        <v>1073</v>
      </c>
      <c r="D51" s="502">
        <v>42681</v>
      </c>
      <c r="E51" s="492" t="s">
        <v>1077</v>
      </c>
    </row>
    <row r="52" spans="1:5" ht="67.5">
      <c r="A52" s="371">
        <v>51</v>
      </c>
      <c r="B52" s="559" t="s">
        <v>1076</v>
      </c>
      <c r="C52" s="397" t="s">
        <v>1078</v>
      </c>
      <c r="D52" s="711">
        <v>42681</v>
      </c>
      <c r="E52" s="713" t="s">
        <v>1077</v>
      </c>
    </row>
    <row r="53" spans="1:5" ht="67.5">
      <c r="A53" s="371">
        <v>50</v>
      </c>
      <c r="B53" s="559" t="s">
        <v>1076</v>
      </c>
      <c r="C53" s="397" t="s">
        <v>1075</v>
      </c>
      <c r="D53" s="712"/>
      <c r="E53" s="714"/>
    </row>
    <row r="54" spans="1:5" ht="54">
      <c r="A54" s="371">
        <v>49</v>
      </c>
      <c r="B54" s="559" t="s">
        <v>1057</v>
      </c>
      <c r="C54" s="397" t="s">
        <v>1061</v>
      </c>
      <c r="D54" s="502">
        <v>42678</v>
      </c>
      <c r="E54" s="397" t="s">
        <v>1056</v>
      </c>
    </row>
    <row r="55" spans="1:5" ht="27">
      <c r="A55" s="371">
        <v>48</v>
      </c>
      <c r="B55" s="559" t="s">
        <v>1048</v>
      </c>
      <c r="C55" s="397" t="s">
        <v>1052</v>
      </c>
      <c r="D55" s="487">
        <v>42678</v>
      </c>
      <c r="E55" s="397" t="s">
        <v>1053</v>
      </c>
    </row>
    <row r="56" spans="1:5" ht="40.5">
      <c r="A56" s="371">
        <v>47</v>
      </c>
      <c r="B56" s="559" t="s">
        <v>812</v>
      </c>
      <c r="C56" s="397" t="s">
        <v>881</v>
      </c>
      <c r="D56" s="487">
        <v>42678</v>
      </c>
      <c r="E56" s="397" t="s">
        <v>1050</v>
      </c>
    </row>
    <row r="57" spans="1:5" ht="27">
      <c r="A57" s="371">
        <v>46</v>
      </c>
      <c r="B57" s="559" t="s">
        <v>1048</v>
      </c>
      <c r="C57" s="397" t="s">
        <v>1047</v>
      </c>
      <c r="D57" s="502">
        <v>42678</v>
      </c>
      <c r="E57" s="492" t="s">
        <v>1039</v>
      </c>
    </row>
    <row r="58" spans="1:5" ht="40.5">
      <c r="A58" s="371">
        <v>45</v>
      </c>
      <c r="B58" s="559" t="s">
        <v>1048</v>
      </c>
      <c r="C58" s="478" t="s">
        <v>1066</v>
      </c>
      <c r="D58" s="487">
        <v>42675</v>
      </c>
      <c r="E58" s="501" t="s">
        <v>1039</v>
      </c>
    </row>
    <row r="59" spans="1:5" ht="27">
      <c r="A59" s="371">
        <v>44</v>
      </c>
      <c r="B59" s="559" t="s">
        <v>812</v>
      </c>
      <c r="C59" s="397" t="s">
        <v>1040</v>
      </c>
      <c r="D59" s="502">
        <v>42675</v>
      </c>
      <c r="E59" s="492" t="s">
        <v>1039</v>
      </c>
    </row>
    <row r="60" spans="1:5" ht="40.5">
      <c r="A60" s="371">
        <v>43</v>
      </c>
      <c r="B60" s="565" t="s">
        <v>1002</v>
      </c>
      <c r="C60" s="397" t="s">
        <v>1025</v>
      </c>
      <c r="D60" s="502">
        <v>42661</v>
      </c>
      <c r="E60" s="492" t="s">
        <v>1026</v>
      </c>
    </row>
    <row r="61" spans="1:5" ht="27">
      <c r="A61" s="371">
        <v>42</v>
      </c>
      <c r="B61" s="559" t="s">
        <v>898</v>
      </c>
      <c r="C61" s="397" t="s">
        <v>998</v>
      </c>
      <c r="D61" s="502">
        <v>42661</v>
      </c>
      <c r="E61" s="492" t="s">
        <v>997</v>
      </c>
    </row>
    <row r="62" spans="1:5" ht="40.5">
      <c r="A62" s="371">
        <v>41</v>
      </c>
      <c r="B62" s="559" t="s">
        <v>995</v>
      </c>
      <c r="C62" s="397" t="s">
        <v>996</v>
      </c>
      <c r="D62" s="502">
        <v>42661</v>
      </c>
      <c r="E62" s="492" t="s">
        <v>904</v>
      </c>
    </row>
    <row r="63" spans="1:5" ht="40.5">
      <c r="A63" s="371">
        <v>40</v>
      </c>
      <c r="B63" s="566" t="s">
        <v>898</v>
      </c>
      <c r="C63" s="457" t="s">
        <v>984</v>
      </c>
      <c r="D63" s="458">
        <v>42661</v>
      </c>
      <c r="E63" s="412" t="s">
        <v>1049</v>
      </c>
    </row>
    <row r="64" spans="1:5" ht="40.5">
      <c r="A64" s="371">
        <v>39</v>
      </c>
      <c r="B64" s="566" t="s">
        <v>898</v>
      </c>
      <c r="C64" s="457" t="s">
        <v>985</v>
      </c>
      <c r="D64" s="458">
        <v>42661</v>
      </c>
      <c r="E64" s="412" t="s">
        <v>986</v>
      </c>
    </row>
    <row r="65" spans="1:5" ht="27">
      <c r="A65" s="371">
        <v>38</v>
      </c>
      <c r="B65" s="559" t="s">
        <v>898</v>
      </c>
      <c r="C65" s="397" t="s">
        <v>989</v>
      </c>
      <c r="D65" s="502">
        <v>42661</v>
      </c>
      <c r="E65" s="492" t="s">
        <v>988</v>
      </c>
    </row>
    <row r="66" spans="1:5" ht="40.5">
      <c r="A66" s="371">
        <v>37</v>
      </c>
      <c r="B66" s="559" t="s">
        <v>898</v>
      </c>
      <c r="C66" s="423" t="s">
        <v>929</v>
      </c>
      <c r="D66" s="403">
        <v>42661</v>
      </c>
      <c r="E66" s="423" t="s">
        <v>904</v>
      </c>
    </row>
    <row r="67" spans="1:5" ht="40.5">
      <c r="A67" s="371">
        <v>36</v>
      </c>
      <c r="B67" s="559" t="s">
        <v>898</v>
      </c>
      <c r="C67" s="423" t="s">
        <v>899</v>
      </c>
      <c r="D67" s="403">
        <v>42661</v>
      </c>
      <c r="E67" s="423" t="s">
        <v>982</v>
      </c>
    </row>
    <row r="68" spans="1:5" ht="27">
      <c r="A68" s="371">
        <v>35</v>
      </c>
      <c r="B68" s="559" t="s">
        <v>886</v>
      </c>
      <c r="C68" s="397" t="s">
        <v>887</v>
      </c>
      <c r="D68" s="502">
        <v>42661</v>
      </c>
      <c r="E68" s="492" t="s">
        <v>904</v>
      </c>
    </row>
    <row r="69" spans="1:5" ht="27">
      <c r="A69" s="371">
        <v>34</v>
      </c>
      <c r="B69" s="565" t="s">
        <v>894</v>
      </c>
      <c r="C69" s="397" t="s">
        <v>895</v>
      </c>
      <c r="D69" s="502">
        <v>42661</v>
      </c>
      <c r="E69" s="492" t="s">
        <v>946</v>
      </c>
    </row>
    <row r="70" spans="1:5" ht="81">
      <c r="A70" s="371">
        <v>33</v>
      </c>
      <c r="B70" s="559" t="s">
        <v>812</v>
      </c>
      <c r="C70" s="397" t="s">
        <v>852</v>
      </c>
      <c r="D70" s="502">
        <v>42661</v>
      </c>
      <c r="E70" s="501" t="s">
        <v>936</v>
      </c>
    </row>
    <row r="71" spans="1:5" ht="40.5">
      <c r="A71" s="371">
        <v>32</v>
      </c>
      <c r="B71" s="565" t="s">
        <v>814</v>
      </c>
      <c r="C71" s="397" t="s">
        <v>897</v>
      </c>
      <c r="D71" s="502">
        <v>42660</v>
      </c>
      <c r="E71" s="492" t="s">
        <v>904</v>
      </c>
    </row>
    <row r="72" spans="1:5" ht="40.5">
      <c r="A72" s="371">
        <v>31</v>
      </c>
      <c r="B72" s="559" t="s">
        <v>812</v>
      </c>
      <c r="C72" s="397" t="s">
        <v>885</v>
      </c>
      <c r="D72" s="502">
        <v>42660</v>
      </c>
      <c r="E72" s="492" t="s">
        <v>927</v>
      </c>
    </row>
    <row r="73" spans="1:5" ht="40.5">
      <c r="A73" s="371">
        <v>30</v>
      </c>
      <c r="B73" s="559" t="s">
        <v>849</v>
      </c>
      <c r="C73" s="397" t="s">
        <v>850</v>
      </c>
      <c r="D73" s="502">
        <v>42660</v>
      </c>
      <c r="E73" s="397" t="s">
        <v>879</v>
      </c>
    </row>
    <row r="74" spans="1:5" ht="27">
      <c r="A74" s="371">
        <v>29</v>
      </c>
      <c r="B74" s="565" t="s">
        <v>814</v>
      </c>
      <c r="C74" s="397" t="s">
        <v>896</v>
      </c>
      <c r="D74" s="502">
        <v>42660</v>
      </c>
      <c r="E74" s="492" t="s">
        <v>904</v>
      </c>
    </row>
    <row r="75" spans="1:5" ht="27">
      <c r="A75" s="371">
        <v>28</v>
      </c>
      <c r="B75" s="559" t="s">
        <v>812</v>
      </c>
      <c r="C75" s="397" t="s">
        <v>902</v>
      </c>
      <c r="D75" s="502">
        <v>42660</v>
      </c>
      <c r="E75" s="492" t="s">
        <v>904</v>
      </c>
    </row>
    <row r="76" spans="1:5" ht="27">
      <c r="A76" s="371">
        <v>27</v>
      </c>
      <c r="B76" s="559" t="s">
        <v>812</v>
      </c>
      <c r="C76" s="397" t="s">
        <v>901</v>
      </c>
      <c r="D76" s="502">
        <v>42660</v>
      </c>
      <c r="E76" s="492" t="s">
        <v>900</v>
      </c>
    </row>
    <row r="77" spans="1:5" ht="27">
      <c r="A77" s="371">
        <v>26</v>
      </c>
      <c r="B77" s="559" t="s">
        <v>816</v>
      </c>
      <c r="C77" s="397" t="s">
        <v>892</v>
      </c>
      <c r="D77" s="502">
        <v>42660</v>
      </c>
      <c r="E77" s="397" t="s">
        <v>893</v>
      </c>
    </row>
    <row r="78" spans="1:5" ht="121.5">
      <c r="A78" s="371">
        <v>25</v>
      </c>
      <c r="B78" s="559" t="s">
        <v>813</v>
      </c>
      <c r="C78" s="397" t="s">
        <v>810</v>
      </c>
      <c r="D78" s="502">
        <v>42660</v>
      </c>
      <c r="E78" s="397" t="s">
        <v>878</v>
      </c>
    </row>
    <row r="79" spans="1:5" ht="135">
      <c r="A79" s="371">
        <v>24</v>
      </c>
      <c r="B79" s="559" t="s">
        <v>813</v>
      </c>
      <c r="C79" s="397" t="s">
        <v>808</v>
      </c>
      <c r="D79" s="502">
        <v>42660</v>
      </c>
      <c r="E79" s="397" t="s">
        <v>877</v>
      </c>
    </row>
    <row r="80" spans="1:5" ht="135">
      <c r="A80" s="371">
        <v>23</v>
      </c>
      <c r="B80" s="559" t="s">
        <v>813</v>
      </c>
      <c r="C80" s="397" t="s">
        <v>809</v>
      </c>
      <c r="D80" s="502">
        <v>42660</v>
      </c>
      <c r="E80" s="397" t="s">
        <v>876</v>
      </c>
    </row>
    <row r="81" spans="1:5" ht="76.5" customHeight="1">
      <c r="A81" s="371">
        <v>22</v>
      </c>
      <c r="B81" s="559" t="s">
        <v>812</v>
      </c>
      <c r="C81" s="422" t="s">
        <v>847</v>
      </c>
      <c r="D81" s="403">
        <v>42660</v>
      </c>
      <c r="E81" s="423" t="s">
        <v>874</v>
      </c>
    </row>
    <row r="82" spans="1:5" ht="54">
      <c r="A82" s="371">
        <v>21</v>
      </c>
      <c r="B82" s="559" t="s">
        <v>812</v>
      </c>
      <c r="C82" s="397" t="s">
        <v>789</v>
      </c>
      <c r="D82" s="502" t="s">
        <v>873</v>
      </c>
      <c r="E82" s="397" t="s">
        <v>872</v>
      </c>
    </row>
    <row r="83" spans="1:5" ht="67.5">
      <c r="A83" s="371">
        <v>20</v>
      </c>
      <c r="B83" s="559" t="s">
        <v>812</v>
      </c>
      <c r="C83" s="402" t="s">
        <v>825</v>
      </c>
      <c r="D83" s="711">
        <v>42660</v>
      </c>
      <c r="E83" s="709" t="s">
        <v>870</v>
      </c>
    </row>
    <row r="84" spans="1:5" ht="40.5">
      <c r="A84" s="371">
        <v>19</v>
      </c>
      <c r="B84" s="559" t="s">
        <v>812</v>
      </c>
      <c r="C84" s="397" t="s">
        <v>1041</v>
      </c>
      <c r="D84" s="712"/>
      <c r="E84" s="710"/>
    </row>
    <row r="85" spans="1:5" ht="40.5">
      <c r="A85" s="371">
        <v>18</v>
      </c>
      <c r="B85" s="559" t="s">
        <v>814</v>
      </c>
      <c r="C85" s="397" t="s">
        <v>797</v>
      </c>
      <c r="D85" s="502">
        <v>42660</v>
      </c>
      <c r="E85" s="501" t="s">
        <v>869</v>
      </c>
    </row>
    <row r="86" spans="1:5" ht="40.5">
      <c r="A86" s="371">
        <v>17</v>
      </c>
      <c r="B86" s="559" t="s">
        <v>814</v>
      </c>
      <c r="C86" s="478" t="s">
        <v>1042</v>
      </c>
      <c r="D86" s="403">
        <v>42660</v>
      </c>
      <c r="E86" s="397" t="s">
        <v>867</v>
      </c>
    </row>
    <row r="87" spans="1:5" ht="40.5">
      <c r="A87" s="371">
        <v>16</v>
      </c>
      <c r="B87" s="559" t="s">
        <v>814</v>
      </c>
      <c r="C87" s="402" t="s">
        <v>821</v>
      </c>
      <c r="D87" s="403">
        <v>42660</v>
      </c>
      <c r="E87" s="397" t="s">
        <v>851</v>
      </c>
    </row>
    <row r="88" spans="1:5" ht="40.5">
      <c r="A88" s="371">
        <v>15</v>
      </c>
      <c r="B88" s="559" t="s">
        <v>822</v>
      </c>
      <c r="C88" s="422" t="s">
        <v>858</v>
      </c>
      <c r="D88" s="403">
        <v>42657</v>
      </c>
      <c r="E88" s="492" t="s">
        <v>839</v>
      </c>
    </row>
    <row r="89" spans="1:5" ht="40.5">
      <c r="A89" s="371">
        <v>14</v>
      </c>
      <c r="B89" s="559" t="s">
        <v>819</v>
      </c>
      <c r="C89" s="397" t="s">
        <v>857</v>
      </c>
      <c r="D89" s="502">
        <v>42656</v>
      </c>
      <c r="E89" s="492" t="s">
        <v>800</v>
      </c>
    </row>
    <row r="90" spans="1:5" ht="27">
      <c r="A90" s="371">
        <v>13</v>
      </c>
      <c r="B90" s="559" t="s">
        <v>818</v>
      </c>
      <c r="C90" s="397" t="s">
        <v>827</v>
      </c>
      <c r="D90" s="502">
        <v>42656</v>
      </c>
      <c r="E90" s="397" t="s">
        <v>836</v>
      </c>
    </row>
    <row r="91" spans="1:5" ht="81">
      <c r="A91" s="371">
        <v>12</v>
      </c>
      <c r="B91" s="559" t="s">
        <v>817</v>
      </c>
      <c r="C91" s="397" t="s">
        <v>855</v>
      </c>
      <c r="D91" s="711">
        <v>42655</v>
      </c>
      <c r="E91" s="709" t="s">
        <v>788</v>
      </c>
    </row>
    <row r="92" spans="1:5" ht="81" customHeight="1">
      <c r="A92" s="371">
        <v>11</v>
      </c>
      <c r="B92" s="559" t="s">
        <v>816</v>
      </c>
      <c r="C92" s="397" t="s">
        <v>829</v>
      </c>
      <c r="D92" s="712"/>
      <c r="E92" s="710"/>
    </row>
    <row r="93" spans="1:5" ht="40.5">
      <c r="A93" s="371">
        <v>10</v>
      </c>
      <c r="B93" s="559" t="s">
        <v>816</v>
      </c>
      <c r="C93" s="402" t="s">
        <v>828</v>
      </c>
      <c r="D93" s="403">
        <v>42657</v>
      </c>
      <c r="E93" s="397" t="s">
        <v>837</v>
      </c>
    </row>
    <row r="94" spans="1:5" ht="40.5">
      <c r="A94" s="371">
        <v>9</v>
      </c>
      <c r="B94" s="559" t="s">
        <v>814</v>
      </c>
      <c r="C94" s="397" t="s">
        <v>830</v>
      </c>
      <c r="D94" s="502">
        <v>42656</v>
      </c>
      <c r="E94" s="492" t="s">
        <v>799</v>
      </c>
    </row>
    <row r="95" spans="1:5" ht="54">
      <c r="A95" s="371">
        <v>8</v>
      </c>
      <c r="B95" s="559" t="s">
        <v>814</v>
      </c>
      <c r="C95" s="397" t="s">
        <v>794</v>
      </c>
      <c r="D95" s="502">
        <v>42655</v>
      </c>
      <c r="E95" s="492" t="s">
        <v>786</v>
      </c>
    </row>
    <row r="96" spans="1:5" ht="67.5">
      <c r="A96" s="371">
        <v>7</v>
      </c>
      <c r="B96" s="559" t="s">
        <v>814</v>
      </c>
      <c r="C96" s="397" t="s">
        <v>793</v>
      </c>
      <c r="D96" s="502">
        <v>42655</v>
      </c>
      <c r="E96" s="492" t="s">
        <v>786</v>
      </c>
    </row>
    <row r="97" spans="1:5" ht="54">
      <c r="A97" s="371">
        <v>6</v>
      </c>
      <c r="B97" s="559" t="s">
        <v>814</v>
      </c>
      <c r="C97" s="397" t="s">
        <v>854</v>
      </c>
      <c r="D97" s="502">
        <v>42655</v>
      </c>
      <c r="E97" s="492" t="s">
        <v>786</v>
      </c>
    </row>
    <row r="98" spans="1:5" ht="67.5">
      <c r="A98" s="371">
        <v>5</v>
      </c>
      <c r="B98" s="559" t="s">
        <v>814</v>
      </c>
      <c r="C98" s="397" t="s">
        <v>856</v>
      </c>
      <c r="D98" s="502">
        <v>42655</v>
      </c>
      <c r="E98" s="492" t="s">
        <v>786</v>
      </c>
    </row>
    <row r="99" spans="1:5" ht="40.5">
      <c r="A99" s="371">
        <v>4</v>
      </c>
      <c r="B99" s="559" t="s">
        <v>812</v>
      </c>
      <c r="C99" s="397" t="s">
        <v>801</v>
      </c>
      <c r="D99" s="502">
        <v>42656</v>
      </c>
      <c r="E99" s="492" t="s">
        <v>800</v>
      </c>
    </row>
    <row r="100" spans="1:5" ht="40.5">
      <c r="A100" s="371">
        <v>3</v>
      </c>
      <c r="B100" s="559" t="s">
        <v>812</v>
      </c>
      <c r="C100" s="397" t="s">
        <v>787</v>
      </c>
      <c r="D100" s="502">
        <v>42655</v>
      </c>
      <c r="E100" s="397" t="s">
        <v>798</v>
      </c>
    </row>
    <row r="101" spans="1:5" ht="27">
      <c r="A101" s="371">
        <v>2</v>
      </c>
      <c r="B101" s="559" t="s">
        <v>812</v>
      </c>
      <c r="C101" s="402" t="s">
        <v>826</v>
      </c>
      <c r="D101" s="408">
        <v>42657</v>
      </c>
      <c r="E101" s="493" t="s">
        <v>835</v>
      </c>
    </row>
    <row r="102" spans="1:5" ht="27">
      <c r="A102" s="371">
        <v>1</v>
      </c>
      <c r="B102" s="559" t="s">
        <v>812</v>
      </c>
      <c r="C102" s="397" t="s">
        <v>795</v>
      </c>
      <c r="D102" s="502">
        <v>42655</v>
      </c>
      <c r="E102" s="492" t="s">
        <v>786</v>
      </c>
    </row>
  </sheetData>
  <sortState xmlns:xlrd2="http://schemas.microsoft.com/office/spreadsheetml/2017/richdata2" ref="A3:E72">
    <sortCondition descending="1" ref="A3:A72"/>
  </sortState>
  <mergeCells count="7">
    <mergeCell ref="A1:C1"/>
    <mergeCell ref="E91:E92"/>
    <mergeCell ref="D91:D92"/>
    <mergeCell ref="D83:D84"/>
    <mergeCell ref="E83:E84"/>
    <mergeCell ref="D52:D53"/>
    <mergeCell ref="E52:E53"/>
  </mergeCells>
  <phoneticPr fontId="10"/>
  <pageMargins left="0.25" right="0.25" top="0.75" bottom="0.75" header="0.3" footer="0.3"/>
  <pageSetup paperSize="9"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V150"/>
  <sheetViews>
    <sheetView tabSelected="1" view="pageBreakPreview" zoomScale="85" zoomScaleNormal="85" zoomScaleSheetLayoutView="85" workbookViewId="0">
      <selection activeCell="C5" sqref="C5:E5"/>
    </sheetView>
  </sheetViews>
  <sheetFormatPr defaultRowHeight="24.75" customHeight="1"/>
  <cols>
    <col min="1" max="1" width="3.5" style="363" customWidth="1"/>
    <col min="2" max="2" width="29.625" style="364" customWidth="1"/>
    <col min="3" max="3" width="13.375" style="365" customWidth="1"/>
    <col min="4" max="4" width="11.375" style="365" customWidth="1"/>
    <col min="5" max="5" width="25.5" style="365" customWidth="1"/>
    <col min="6" max="9" width="25.5" style="366" customWidth="1"/>
    <col min="10" max="10" width="13.375" style="366" customWidth="1"/>
    <col min="11" max="11" width="11.5" style="366" customWidth="1"/>
    <col min="12" max="12" width="12.625" style="365" bestFit="1" customWidth="1"/>
    <col min="13" max="16384" width="9" style="364"/>
  </cols>
  <sheetData>
    <row r="1" spans="1:12" ht="99.75" customHeight="1">
      <c r="A1" s="686" t="s">
        <v>912</v>
      </c>
      <c r="B1" s="685"/>
      <c r="E1" s="366"/>
      <c r="K1" s="364"/>
      <c r="L1" s="364"/>
    </row>
    <row r="2" spans="1:12" ht="24.75" customHeight="1">
      <c r="A2" s="367" t="s">
        <v>678</v>
      </c>
      <c r="E2" s="366"/>
      <c r="K2" s="364"/>
      <c r="L2" s="364"/>
    </row>
    <row r="3" spans="1:12" ht="24.75" customHeight="1">
      <c r="A3" s="716" t="s">
        <v>181</v>
      </c>
      <c r="B3" s="716"/>
      <c r="C3" s="369"/>
      <c r="D3" s="369"/>
      <c r="E3" s="369"/>
      <c r="F3" s="369"/>
      <c r="G3" s="369"/>
      <c r="H3" s="369"/>
      <c r="I3" s="370"/>
      <c r="K3" s="364"/>
      <c r="L3" s="364"/>
    </row>
    <row r="4" spans="1:12" ht="24.75" customHeight="1">
      <c r="A4" s="660" t="s">
        <v>575</v>
      </c>
      <c r="B4" s="384" t="s">
        <v>189</v>
      </c>
      <c r="C4" s="725"/>
      <c r="D4" s="726"/>
      <c r="E4" s="727"/>
      <c r="F4" s="372" t="s">
        <v>669</v>
      </c>
      <c r="G4" s="725"/>
      <c r="H4" s="726"/>
      <c r="I4" s="727"/>
      <c r="K4" s="364"/>
      <c r="L4" s="364"/>
    </row>
    <row r="5" spans="1:12" ht="24.75" customHeight="1">
      <c r="A5" s="660" t="s">
        <v>575</v>
      </c>
      <c r="B5" s="384" t="s">
        <v>190</v>
      </c>
      <c r="C5" s="725"/>
      <c r="D5" s="726"/>
      <c r="E5" s="727"/>
      <c r="F5" s="372"/>
      <c r="G5" s="614"/>
      <c r="H5" s="614"/>
      <c r="I5" s="616"/>
      <c r="J5" s="425"/>
      <c r="K5" s="364"/>
      <c r="L5" s="364"/>
    </row>
    <row r="6" spans="1:12" ht="24.75" customHeight="1">
      <c r="A6" s="660"/>
      <c r="B6" s="384" t="s">
        <v>182</v>
      </c>
      <c r="C6" s="725"/>
      <c r="D6" s="726"/>
      <c r="E6" s="727"/>
      <c r="F6" s="372" t="s">
        <v>671</v>
      </c>
      <c r="G6" s="725"/>
      <c r="H6" s="726"/>
      <c r="I6" s="727"/>
      <c r="J6" s="424"/>
      <c r="K6" s="364"/>
      <c r="L6" s="364"/>
    </row>
    <row r="7" spans="1:12" ht="24.75" customHeight="1">
      <c r="A7" s="660"/>
      <c r="B7" s="384" t="s">
        <v>184</v>
      </c>
      <c r="C7" s="613"/>
      <c r="D7" s="614"/>
      <c r="E7" s="614"/>
      <c r="F7" s="372" t="s">
        <v>669</v>
      </c>
      <c r="G7" s="614"/>
      <c r="H7" s="614"/>
      <c r="I7" s="616"/>
      <c r="J7" s="424"/>
      <c r="K7" s="364"/>
      <c r="L7" s="364"/>
    </row>
    <row r="8" spans="1:12" ht="24.75" customHeight="1">
      <c r="A8" s="660"/>
      <c r="B8" s="384" t="s">
        <v>674</v>
      </c>
      <c r="C8" s="725"/>
      <c r="D8" s="726"/>
      <c r="E8" s="727"/>
      <c r="F8" s="372" t="s">
        <v>670</v>
      </c>
      <c r="G8" s="725"/>
      <c r="H8" s="726"/>
      <c r="I8" s="727"/>
      <c r="J8" s="424"/>
      <c r="K8" s="364"/>
      <c r="L8" s="364"/>
    </row>
    <row r="9" spans="1:12" ht="24.75" customHeight="1">
      <c r="A9" s="660"/>
      <c r="B9" s="384" t="s">
        <v>672</v>
      </c>
      <c r="C9" s="728"/>
      <c r="D9" s="729"/>
      <c r="E9" s="730"/>
      <c r="F9" s="372" t="s">
        <v>673</v>
      </c>
      <c r="G9" s="725"/>
      <c r="H9" s="726"/>
      <c r="I9" s="727"/>
      <c r="J9" s="424"/>
      <c r="K9" s="364"/>
      <c r="L9" s="364"/>
    </row>
    <row r="10" spans="1:12" ht="24.75" customHeight="1">
      <c r="A10" s="660" t="s">
        <v>575</v>
      </c>
      <c r="B10" s="384" t="s">
        <v>1119</v>
      </c>
      <c r="C10" s="731"/>
      <c r="D10" s="732"/>
      <c r="E10" s="732"/>
      <c r="F10" s="615"/>
      <c r="G10" s="615"/>
      <c r="H10" s="615"/>
      <c r="I10" s="617"/>
      <c r="J10" s="50"/>
      <c r="K10" s="364"/>
      <c r="L10" s="364"/>
    </row>
    <row r="11" spans="1:12" ht="24.75" customHeight="1">
      <c r="A11" s="723"/>
      <c r="B11" s="721" t="s">
        <v>675</v>
      </c>
      <c r="C11" s="368" t="s">
        <v>59</v>
      </c>
      <c r="D11" s="731"/>
      <c r="E11" s="733"/>
      <c r="F11" s="368" t="s">
        <v>676</v>
      </c>
      <c r="G11" s="731"/>
      <c r="H11" s="732"/>
      <c r="I11" s="733"/>
      <c r="J11" s="376"/>
      <c r="K11" s="364"/>
      <c r="L11" s="364"/>
    </row>
    <row r="12" spans="1:12" ht="24.75" customHeight="1">
      <c r="A12" s="724"/>
      <c r="B12" s="722"/>
      <c r="C12" s="373" t="s">
        <v>1252</v>
      </c>
      <c r="D12" s="731"/>
      <c r="E12" s="733"/>
      <c r="F12" s="368" t="s">
        <v>677</v>
      </c>
      <c r="G12" s="731"/>
      <c r="H12" s="732"/>
      <c r="I12" s="733"/>
      <c r="J12" s="376"/>
      <c r="K12" s="364"/>
      <c r="L12" s="364"/>
    </row>
    <row r="13" spans="1:12" ht="24.75" customHeight="1">
      <c r="A13" s="717" t="s">
        <v>185</v>
      </c>
      <c r="B13" s="718"/>
      <c r="C13" s="368" t="s">
        <v>180</v>
      </c>
      <c r="D13" s="368" t="s">
        <v>384</v>
      </c>
      <c r="E13" s="372" t="s">
        <v>750</v>
      </c>
      <c r="F13" s="372" t="s">
        <v>749</v>
      </c>
      <c r="G13" s="372" t="s">
        <v>382</v>
      </c>
      <c r="H13" s="372" t="s">
        <v>383</v>
      </c>
      <c r="I13" s="372" t="s">
        <v>519</v>
      </c>
      <c r="J13" s="479" t="s">
        <v>1087</v>
      </c>
      <c r="K13" s="434" t="s">
        <v>1046</v>
      </c>
      <c r="L13" s="364"/>
    </row>
    <row r="14" spans="1:12" ht="24.75" customHeight="1">
      <c r="A14" s="660" t="s">
        <v>575</v>
      </c>
      <c r="B14" s="472" t="s">
        <v>187</v>
      </c>
      <c r="C14" s="725"/>
      <c r="D14" s="726"/>
      <c r="E14" s="726"/>
      <c r="F14" s="726"/>
      <c r="G14" s="726"/>
      <c r="H14" s="726"/>
      <c r="I14" s="727"/>
      <c r="J14" s="618" t="s">
        <v>907</v>
      </c>
      <c r="K14" s="619"/>
      <c r="L14" s="581">
        <f>MIN(E32:I32)</f>
        <v>0</v>
      </c>
    </row>
    <row r="15" spans="1:12" ht="24.75" customHeight="1">
      <c r="A15" s="660" t="s">
        <v>575</v>
      </c>
      <c r="B15" s="472" t="s">
        <v>188</v>
      </c>
      <c r="C15" s="725"/>
      <c r="D15" s="726"/>
      <c r="E15" s="726"/>
      <c r="F15" s="726"/>
      <c r="G15" s="726"/>
      <c r="H15" s="726"/>
      <c r="I15" s="727"/>
      <c r="J15" s="618" t="s">
        <v>907</v>
      </c>
      <c r="K15" s="619"/>
      <c r="L15" s="364">
        <f>D17/1000*E17/1000</f>
        <v>2.3296000000000001E-2</v>
      </c>
    </row>
    <row r="16" spans="1:12" ht="39" customHeight="1">
      <c r="A16" s="660" t="s">
        <v>575</v>
      </c>
      <c r="B16" s="450" t="s">
        <v>1099</v>
      </c>
      <c r="C16" s="662" t="s">
        <v>183</v>
      </c>
      <c r="D16" s="620" t="s">
        <v>736</v>
      </c>
      <c r="E16" s="536"/>
      <c r="F16" s="537"/>
      <c r="G16" s="537"/>
      <c r="H16" s="537"/>
      <c r="I16" s="538"/>
      <c r="J16" s="618" t="s">
        <v>907</v>
      </c>
      <c r="K16" s="619"/>
      <c r="L16" s="364"/>
    </row>
    <row r="17" spans="1:13" ht="27">
      <c r="A17" s="660" t="s">
        <v>575</v>
      </c>
      <c r="B17" s="450" t="s">
        <v>1045</v>
      </c>
      <c r="C17" s="662" t="s">
        <v>330</v>
      </c>
      <c r="D17" s="621">
        <f>VLOOKUP(D16,原単位一覧!A174:C183,2,FALSE)</f>
        <v>182</v>
      </c>
      <c r="E17" s="623">
        <f>VLOOKUP(D16,原単位一覧!A174:C183,3,FALSE)</f>
        <v>128</v>
      </c>
      <c r="F17" s="529"/>
      <c r="G17" s="529"/>
      <c r="H17" s="529"/>
      <c r="I17" s="529"/>
      <c r="J17" s="618" t="s">
        <v>907</v>
      </c>
      <c r="K17" s="619"/>
      <c r="L17" s="376" t="s">
        <v>777</v>
      </c>
    </row>
    <row r="18" spans="1:13" ht="24.75" customHeight="1">
      <c r="A18" s="660" t="s">
        <v>575</v>
      </c>
      <c r="B18" s="472" t="s">
        <v>326</v>
      </c>
      <c r="C18" s="662" t="s">
        <v>684</v>
      </c>
      <c r="D18" s="622"/>
      <c r="E18" s="529"/>
      <c r="F18" s="529"/>
      <c r="G18" s="529"/>
      <c r="H18" s="529"/>
      <c r="I18" s="529"/>
      <c r="J18" s="618" t="s">
        <v>907</v>
      </c>
      <c r="K18" s="619"/>
      <c r="L18" s="364"/>
    </row>
    <row r="19" spans="1:13" ht="24.75" hidden="1" customHeight="1">
      <c r="A19" s="660"/>
      <c r="B19" s="379" t="s">
        <v>1021</v>
      </c>
      <c r="C19" s="331" t="s">
        <v>684</v>
      </c>
      <c r="D19" s="382" t="e">
        <f>(D37/D35)*D18</f>
        <v>#DIV/0!</v>
      </c>
      <c r="E19" s="375"/>
      <c r="F19" s="375"/>
      <c r="G19" s="375"/>
      <c r="H19" s="375"/>
      <c r="I19" s="375"/>
      <c r="J19" s="618" t="s">
        <v>888</v>
      </c>
      <c r="K19" s="619"/>
      <c r="L19" s="364"/>
    </row>
    <row r="20" spans="1:13" ht="24.75" customHeight="1">
      <c r="A20" s="660" t="s">
        <v>575</v>
      </c>
      <c r="B20" s="472" t="s">
        <v>1095</v>
      </c>
      <c r="C20" s="662" t="s">
        <v>1096</v>
      </c>
      <c r="D20" s="624"/>
      <c r="E20" s="375"/>
      <c r="F20" s="375"/>
      <c r="G20" s="375"/>
      <c r="H20" s="375"/>
      <c r="I20" s="375"/>
      <c r="J20" s="618" t="s">
        <v>909</v>
      </c>
      <c r="K20" s="619"/>
      <c r="L20" s="364"/>
    </row>
    <row r="21" spans="1:13" ht="24.75" customHeight="1">
      <c r="A21" s="660" t="s">
        <v>1120</v>
      </c>
      <c r="B21" s="472" t="s">
        <v>680</v>
      </c>
      <c r="C21" s="662" t="s">
        <v>237</v>
      </c>
      <c r="D21" s="625" t="s">
        <v>533</v>
      </c>
      <c r="E21" s="529"/>
      <c r="F21" s="529"/>
      <c r="G21" s="529"/>
      <c r="H21" s="529"/>
      <c r="I21" s="529"/>
      <c r="J21" s="618" t="s">
        <v>909</v>
      </c>
      <c r="K21" s="619"/>
      <c r="L21" s="364"/>
    </row>
    <row r="22" spans="1:13" ht="24.75" customHeight="1">
      <c r="A22" s="660" t="s">
        <v>1120</v>
      </c>
      <c r="B22" s="472" t="s">
        <v>681</v>
      </c>
      <c r="C22" s="662" t="s">
        <v>237</v>
      </c>
      <c r="D22" s="625" t="s">
        <v>1331</v>
      </c>
      <c r="E22" s="529"/>
      <c r="F22" s="529"/>
      <c r="G22" s="529"/>
      <c r="H22" s="529"/>
      <c r="I22" s="529"/>
      <c r="J22" s="618" t="s">
        <v>909</v>
      </c>
      <c r="K22" s="619"/>
      <c r="L22" s="364"/>
    </row>
    <row r="23" spans="1:13" ht="51.75" customHeight="1">
      <c r="A23" s="719" t="s">
        <v>1094</v>
      </c>
      <c r="B23" s="720"/>
      <c r="C23" s="368" t="s">
        <v>180</v>
      </c>
      <c r="D23" s="368" t="s">
        <v>384</v>
      </c>
      <c r="E23" s="372" t="s">
        <v>750</v>
      </c>
      <c r="F23" s="372" t="s">
        <v>355</v>
      </c>
      <c r="G23" s="372" t="s">
        <v>382</v>
      </c>
      <c r="H23" s="372" t="s">
        <v>383</v>
      </c>
      <c r="I23" s="372" t="s">
        <v>519</v>
      </c>
      <c r="J23" s="434" t="s">
        <v>905</v>
      </c>
      <c r="K23" s="434" t="s">
        <v>1046</v>
      </c>
      <c r="L23" s="364"/>
    </row>
    <row r="24" spans="1:13" ht="24.75" customHeight="1">
      <c r="A24" s="660"/>
      <c r="B24" s="472" t="s">
        <v>682</v>
      </c>
      <c r="C24" s="662" t="s">
        <v>237</v>
      </c>
      <c r="D24" s="378"/>
      <c r="E24" s="626" t="s">
        <v>502</v>
      </c>
      <c r="F24" s="626" t="s">
        <v>502</v>
      </c>
      <c r="G24" s="626" t="s">
        <v>502</v>
      </c>
      <c r="H24" s="626" t="s">
        <v>502</v>
      </c>
      <c r="I24" s="626" t="s">
        <v>502</v>
      </c>
      <c r="J24" s="618" t="s">
        <v>909</v>
      </c>
      <c r="K24" s="619"/>
      <c r="L24" s="364"/>
    </row>
    <row r="25" spans="1:13" ht="24.75" customHeight="1">
      <c r="A25" s="660"/>
      <c r="B25" s="472" t="s">
        <v>683</v>
      </c>
      <c r="C25" s="662" t="s">
        <v>237</v>
      </c>
      <c r="D25" s="378"/>
      <c r="E25" s="678" t="s">
        <v>1330</v>
      </c>
      <c r="F25" s="626" t="s">
        <v>374</v>
      </c>
      <c r="G25" s="626" t="s">
        <v>1330</v>
      </c>
      <c r="H25" s="626" t="s">
        <v>1330</v>
      </c>
      <c r="I25" s="626" t="s">
        <v>1330</v>
      </c>
      <c r="J25" s="618" t="s">
        <v>909</v>
      </c>
      <c r="K25" s="619"/>
      <c r="L25" s="364"/>
    </row>
    <row r="26" spans="1:13" ht="24.75" customHeight="1">
      <c r="A26" s="646"/>
      <c r="B26" s="647" t="s">
        <v>1123</v>
      </c>
      <c r="C26" s="648" t="s">
        <v>1125</v>
      </c>
      <c r="D26" s="649"/>
      <c r="E26" s="679"/>
      <c r="F26" s="679"/>
      <c r="G26" s="679"/>
      <c r="H26" s="679"/>
      <c r="I26" s="679"/>
      <c r="J26" s="680" t="s">
        <v>909</v>
      </c>
      <c r="K26" s="681"/>
      <c r="L26" s="364"/>
    </row>
    <row r="27" spans="1:13" ht="24.75" customHeight="1">
      <c r="A27" s="646"/>
      <c r="B27" s="647" t="s">
        <v>1124</v>
      </c>
      <c r="C27" s="648" t="s">
        <v>1125</v>
      </c>
      <c r="D27" s="649"/>
      <c r="E27" s="679"/>
      <c r="F27" s="679"/>
      <c r="G27" s="679"/>
      <c r="H27" s="679"/>
      <c r="I27" s="679"/>
      <c r="J27" s="680" t="s">
        <v>909</v>
      </c>
      <c r="K27" s="681"/>
      <c r="L27" s="364"/>
    </row>
    <row r="28" spans="1:13" ht="24.75" customHeight="1">
      <c r="A28" s="660"/>
      <c r="B28" s="472" t="s">
        <v>1176</v>
      </c>
      <c r="C28" s="662" t="s">
        <v>1177</v>
      </c>
      <c r="D28" s="378"/>
      <c r="E28" s="627"/>
      <c r="F28" s="627"/>
      <c r="G28" s="627"/>
      <c r="H28" s="627"/>
      <c r="I28" s="627"/>
      <c r="J28" s="618" t="s">
        <v>907</v>
      </c>
      <c r="K28" s="619"/>
      <c r="L28" s="364"/>
      <c r="M28" s="364" t="s">
        <v>1121</v>
      </c>
    </row>
    <row r="29" spans="1:13" ht="24.75" hidden="1" customHeight="1">
      <c r="A29" s="660"/>
      <c r="B29" s="379" t="s">
        <v>1181</v>
      </c>
      <c r="C29" s="331"/>
      <c r="D29" s="378"/>
      <c r="E29" s="399">
        <f>(VLOOKUP(個別製品情報入力シート!E25,原単位一覧!$F$39:$L$50,7,FALSE))/($D$17/1000*$E$17/1000)</f>
        <v>18.434924450549449</v>
      </c>
      <c r="F29" s="399">
        <f>(VLOOKUP(個別製品情報入力シート!F25,原単位一覧!$F$39:$L$50,7,FALSE))/($D$17/1000*$E$17/1000)</f>
        <v>9.2174622252747245</v>
      </c>
      <c r="G29" s="399">
        <f>(VLOOKUP(個別製品情報入力シート!G25,原単位一覧!$F$39:$L$50,7,FALSE))/($D$17/1000*$E$17/1000)</f>
        <v>18.434924450549449</v>
      </c>
      <c r="H29" s="399">
        <f>(VLOOKUP(個別製品情報入力シート!H25,原単位一覧!$F$39:$L$50,7,FALSE))/($D$17/1000*$E$17/1000)</f>
        <v>18.434924450549449</v>
      </c>
      <c r="I29" s="399">
        <f>(VLOOKUP(個別製品情報入力シート!I25,原単位一覧!$F$39:$L$50,7,FALSE))/($D$17/1000*$E$17/1000)</f>
        <v>18.434924450549449</v>
      </c>
      <c r="J29" s="579"/>
      <c r="K29" s="329"/>
      <c r="L29" s="364"/>
    </row>
    <row r="30" spans="1:13" ht="24.75" customHeight="1">
      <c r="A30" s="660"/>
      <c r="B30" s="473" t="s">
        <v>688</v>
      </c>
      <c r="C30" s="662" t="s">
        <v>237</v>
      </c>
      <c r="D30" s="331"/>
      <c r="E30" s="622"/>
      <c r="F30" s="622"/>
      <c r="G30" s="622"/>
      <c r="H30" s="622"/>
      <c r="I30" s="622"/>
      <c r="J30" s="618" t="s">
        <v>909</v>
      </c>
      <c r="K30" s="619"/>
      <c r="L30" s="364"/>
    </row>
    <row r="31" spans="1:13" ht="24.75" customHeight="1">
      <c r="A31" s="660"/>
      <c r="B31" s="473" t="s">
        <v>689</v>
      </c>
      <c r="C31" s="662" t="s">
        <v>925</v>
      </c>
      <c r="D31" s="331"/>
      <c r="E31" s="622"/>
      <c r="F31" s="622"/>
      <c r="G31" s="622"/>
      <c r="H31" s="622"/>
      <c r="I31" s="622"/>
      <c r="J31" s="618" t="s">
        <v>909</v>
      </c>
      <c r="K31" s="619"/>
      <c r="L31" s="364"/>
    </row>
    <row r="32" spans="1:13" ht="24.75" customHeight="1">
      <c r="A32" s="660"/>
      <c r="B32" s="472" t="s">
        <v>773</v>
      </c>
      <c r="C32" s="662" t="s">
        <v>775</v>
      </c>
      <c r="D32" s="378"/>
      <c r="E32" s="628"/>
      <c r="F32" s="628"/>
      <c r="G32" s="628"/>
      <c r="H32" s="628"/>
      <c r="I32" s="628"/>
      <c r="J32" s="618" t="s">
        <v>909</v>
      </c>
      <c r="K32" s="619"/>
      <c r="L32" s="364"/>
    </row>
    <row r="33" spans="1:22" ht="24.75" hidden="1" customHeight="1">
      <c r="A33" s="534"/>
      <c r="B33" s="547" t="s">
        <v>1020</v>
      </c>
      <c r="C33" s="381" t="s">
        <v>546</v>
      </c>
      <c r="D33" s="467"/>
      <c r="E33" s="467">
        <f t="shared" ref="E33:H33" si="0">E32/1000</f>
        <v>0</v>
      </c>
      <c r="F33" s="467">
        <f>F32/1000</f>
        <v>0</v>
      </c>
      <c r="G33" s="467">
        <f t="shared" si="0"/>
        <v>0</v>
      </c>
      <c r="H33" s="467">
        <f t="shared" si="0"/>
        <v>0</v>
      </c>
      <c r="I33" s="467">
        <f>I32/1000</f>
        <v>0</v>
      </c>
      <c r="J33" s="579"/>
      <c r="K33" s="329"/>
      <c r="L33" s="364"/>
    </row>
    <row r="34" spans="1:22" ht="24.75" hidden="1" customHeight="1">
      <c r="A34" s="534"/>
      <c r="B34" s="547" t="s">
        <v>1182</v>
      </c>
      <c r="C34" s="381" t="s">
        <v>1190</v>
      </c>
      <c r="D34" s="467"/>
      <c r="E34" s="467">
        <f>E33/(VLOOKUP(E25,原単位一覧!$F$39:$M$50,7,FALSE))</f>
        <v>0</v>
      </c>
      <c r="F34" s="467">
        <f>F33/(VLOOKUP(F25,原単位一覧!$F$39:$M$50,7,FALSE))</f>
        <v>0</v>
      </c>
      <c r="G34" s="467">
        <f>G33/(VLOOKUP(G25,原単位一覧!$F$39:$M$50,7,FALSE))</f>
        <v>0</v>
      </c>
      <c r="H34" s="467">
        <f>H33/(VLOOKUP(H25,原単位一覧!$F$39:$M$50,7,FALSE))</f>
        <v>0</v>
      </c>
      <c r="I34" s="467">
        <f>I33/(VLOOKUP(I25,原単位一覧!$F$39:$M$50,7,FALSE))</f>
        <v>0</v>
      </c>
      <c r="J34" s="579"/>
      <c r="K34" s="329"/>
      <c r="L34" s="364"/>
    </row>
    <row r="35" spans="1:22" ht="35.25" customHeight="1">
      <c r="A35" s="660"/>
      <c r="B35" s="472" t="s">
        <v>327</v>
      </c>
      <c r="C35" s="663" t="s">
        <v>1098</v>
      </c>
      <c r="D35" s="330">
        <f>SUM(E35:I35)</f>
        <v>0</v>
      </c>
      <c r="E35" s="622"/>
      <c r="F35" s="622"/>
      <c r="G35" s="622"/>
      <c r="H35" s="622"/>
      <c r="I35" s="622"/>
      <c r="J35" s="618" t="s">
        <v>909</v>
      </c>
      <c r="K35" s="619"/>
      <c r="L35" s="376"/>
      <c r="M35" s="376"/>
      <c r="N35" s="376"/>
      <c r="O35" s="376"/>
      <c r="P35" s="376"/>
      <c r="Q35" s="376"/>
      <c r="R35" s="376"/>
      <c r="S35" s="376"/>
      <c r="T35" s="376"/>
      <c r="U35" s="376"/>
      <c r="V35" s="376"/>
    </row>
    <row r="36" spans="1:22" ht="24.75" customHeight="1">
      <c r="A36" s="660"/>
      <c r="B36" s="472" t="s">
        <v>328</v>
      </c>
      <c r="C36" s="663" t="s">
        <v>1098</v>
      </c>
      <c r="D36" s="330">
        <f>SUM(E36:I36)</f>
        <v>0</v>
      </c>
      <c r="E36" s="622"/>
      <c r="F36" s="622"/>
      <c r="G36" s="622"/>
      <c r="H36" s="622"/>
      <c r="I36" s="622"/>
      <c r="J36" s="618" t="s">
        <v>909</v>
      </c>
      <c r="K36" s="619"/>
      <c r="L36" s="364"/>
    </row>
    <row r="37" spans="1:22" ht="24.75" customHeight="1">
      <c r="A37" s="660"/>
      <c r="B37" s="472" t="s">
        <v>329</v>
      </c>
      <c r="C37" s="663" t="s">
        <v>1098</v>
      </c>
      <c r="D37" s="330">
        <f>SUM(E37:I37)</f>
        <v>0</v>
      </c>
      <c r="E37" s="622"/>
      <c r="F37" s="622"/>
      <c r="G37" s="622"/>
      <c r="H37" s="622"/>
      <c r="I37" s="622"/>
      <c r="J37" s="618" t="s">
        <v>909</v>
      </c>
      <c r="K37" s="619"/>
      <c r="L37" s="364"/>
    </row>
    <row r="38" spans="1:22" ht="24.75" hidden="1" customHeight="1">
      <c r="A38" s="535"/>
      <c r="B38" s="379" t="s">
        <v>412</v>
      </c>
      <c r="C38" s="331"/>
      <c r="D38" s="330">
        <f t="shared" ref="D37:D38" si="1">SUM(E38:I38)</f>
        <v>0</v>
      </c>
      <c r="E38" s="380">
        <f>(E35+E36+E37)*E32/1000</f>
        <v>0</v>
      </c>
      <c r="F38" s="380">
        <f>(F35+F36+F37)*F32/1000</f>
        <v>0</v>
      </c>
      <c r="G38" s="380">
        <f>(G35+G36+G37)*G32/1000</f>
        <v>0</v>
      </c>
      <c r="H38" s="380">
        <f>(H35+H36+H37)*H32/1000</f>
        <v>0</v>
      </c>
      <c r="I38" s="375">
        <f>(I35+I36+I37)*I32/1000</f>
        <v>0</v>
      </c>
      <c r="J38" s="415" t="s">
        <v>888</v>
      </c>
      <c r="K38" s="371"/>
      <c r="L38" s="364"/>
    </row>
    <row r="39" spans="1:22" ht="24.75" customHeight="1">
      <c r="A39" s="717" t="s">
        <v>914</v>
      </c>
      <c r="B39" s="718"/>
      <c r="C39" s="368" t="s">
        <v>180</v>
      </c>
      <c r="D39" s="368" t="s">
        <v>384</v>
      </c>
      <c r="E39" s="434" t="s">
        <v>750</v>
      </c>
      <c r="F39" s="372" t="s">
        <v>355</v>
      </c>
      <c r="G39" s="372" t="s">
        <v>382</v>
      </c>
      <c r="H39" s="372" t="s">
        <v>383</v>
      </c>
      <c r="I39" s="372" t="s">
        <v>519</v>
      </c>
      <c r="J39" s="434" t="s">
        <v>905</v>
      </c>
      <c r="K39" s="434" t="s">
        <v>1046</v>
      </c>
      <c r="L39" s="364"/>
    </row>
    <row r="40" spans="1:22" ht="24.75" customHeight="1">
      <c r="A40" s="660"/>
      <c r="B40" s="450" t="s">
        <v>802</v>
      </c>
      <c r="C40" s="662" t="s">
        <v>186</v>
      </c>
      <c r="D40" s="381"/>
      <c r="E40" s="629" t="s">
        <v>949</v>
      </c>
      <c r="F40" s="629" t="s">
        <v>1267</v>
      </c>
      <c r="G40" s="629" t="s">
        <v>1267</v>
      </c>
      <c r="H40" s="629" t="s">
        <v>949</v>
      </c>
      <c r="I40" s="629" t="s">
        <v>949</v>
      </c>
      <c r="J40" s="618" t="s">
        <v>920</v>
      </c>
      <c r="K40" s="619"/>
      <c r="L40" s="364"/>
    </row>
    <row r="41" spans="1:22" ht="27">
      <c r="A41" s="660"/>
      <c r="B41" s="450" t="s">
        <v>1224</v>
      </c>
      <c r="C41" s="662" t="s">
        <v>753</v>
      </c>
      <c r="D41" s="381"/>
      <c r="E41" s="628"/>
      <c r="F41" s="628"/>
      <c r="G41" s="628"/>
      <c r="H41" s="622"/>
      <c r="I41" s="622"/>
      <c r="J41" s="618" t="s">
        <v>918</v>
      </c>
      <c r="K41" s="619"/>
      <c r="L41" s="364"/>
    </row>
    <row r="42" spans="1:22" ht="40.5">
      <c r="A42" s="660"/>
      <c r="B42" s="450" t="s">
        <v>1129</v>
      </c>
      <c r="C42" s="663" t="s">
        <v>764</v>
      </c>
      <c r="D42" s="381"/>
      <c r="E42" s="622"/>
      <c r="F42" s="622"/>
      <c r="G42" s="622"/>
      <c r="H42" s="622"/>
      <c r="I42" s="622"/>
      <c r="J42" s="618" t="s">
        <v>918</v>
      </c>
      <c r="K42" s="619"/>
      <c r="L42" s="364"/>
    </row>
    <row r="43" spans="1:22" ht="24.75" customHeight="1">
      <c r="A43" s="660"/>
      <c r="B43" s="661" t="s">
        <v>1065</v>
      </c>
      <c r="C43" s="662" t="s">
        <v>753</v>
      </c>
      <c r="D43" s="381"/>
      <c r="E43" s="630"/>
      <c r="F43" s="630"/>
      <c r="G43" s="631"/>
      <c r="H43" s="631"/>
      <c r="I43" s="631"/>
      <c r="J43" s="618" t="s">
        <v>918</v>
      </c>
      <c r="K43" s="619"/>
      <c r="L43" s="364"/>
    </row>
    <row r="44" spans="1:22" ht="24.75" customHeight="1">
      <c r="A44" s="660"/>
      <c r="B44" s="661" t="s">
        <v>1223</v>
      </c>
      <c r="C44" s="662" t="s">
        <v>1222</v>
      </c>
      <c r="D44" s="381"/>
      <c r="E44" s="652" t="s">
        <v>1238</v>
      </c>
      <c r="F44" s="652" t="s">
        <v>1235</v>
      </c>
      <c r="G44" s="652" t="s">
        <v>1240</v>
      </c>
      <c r="H44" s="652" t="s">
        <v>1238</v>
      </c>
      <c r="I44" s="652" t="s">
        <v>1231</v>
      </c>
      <c r="J44" s="618" t="s">
        <v>918</v>
      </c>
      <c r="K44" s="619"/>
      <c r="L44" s="364"/>
    </row>
    <row r="45" spans="1:22" ht="24.75" hidden="1" customHeight="1">
      <c r="A45" s="535"/>
      <c r="B45" s="379" t="s">
        <v>1022</v>
      </c>
      <c r="C45" s="331"/>
      <c r="D45" s="381"/>
      <c r="E45" s="375">
        <f>VLOOKUP(E40,$D$114:$I$117,2,FALSE)</f>
        <v>0</v>
      </c>
      <c r="F45" s="375">
        <f>VLOOKUP(F40,$D$114:$I$117,3,FALSE)</f>
        <v>0</v>
      </c>
      <c r="G45" s="375">
        <f>VLOOKUP(G40,$D$114:$I$117,4,FALSE)</f>
        <v>0</v>
      </c>
      <c r="H45" s="375">
        <f>VLOOKUP(H40,$D$114:$I$117,5,FALSE)</f>
        <v>0</v>
      </c>
      <c r="I45" s="375">
        <f>VLOOKUP(I40,$D$114:$I$117,6,FALSE)</f>
        <v>0</v>
      </c>
      <c r="J45" s="415" t="s">
        <v>888</v>
      </c>
      <c r="K45" s="371" t="s">
        <v>1055</v>
      </c>
      <c r="L45" s="364"/>
    </row>
    <row r="46" spans="1:22" ht="24.75" customHeight="1">
      <c r="A46" s="717" t="s">
        <v>913</v>
      </c>
      <c r="B46" s="718"/>
      <c r="C46" s="368" t="s">
        <v>180</v>
      </c>
      <c r="D46" s="368" t="s">
        <v>384</v>
      </c>
      <c r="E46" s="372" t="s">
        <v>750</v>
      </c>
      <c r="F46" s="372" t="s">
        <v>355</v>
      </c>
      <c r="G46" s="372" t="s">
        <v>382</v>
      </c>
      <c r="H46" s="372" t="s">
        <v>383</v>
      </c>
      <c r="I46" s="372" t="s">
        <v>519</v>
      </c>
      <c r="J46" s="434" t="s">
        <v>905</v>
      </c>
      <c r="K46" s="434" t="s">
        <v>1046</v>
      </c>
      <c r="L46" s="364"/>
    </row>
    <row r="47" spans="1:22" ht="24.75" customHeight="1">
      <c r="A47" s="660"/>
      <c r="B47" s="472" t="s">
        <v>385</v>
      </c>
      <c r="C47" s="662" t="s">
        <v>376</v>
      </c>
      <c r="D47" s="331"/>
      <c r="E47" s="622"/>
      <c r="F47" s="622"/>
      <c r="G47" s="622"/>
      <c r="H47" s="622"/>
      <c r="I47" s="622"/>
      <c r="J47" s="618" t="s">
        <v>920</v>
      </c>
      <c r="K47" s="619"/>
      <c r="L47" s="364"/>
    </row>
    <row r="48" spans="1:22" ht="24.75" customHeight="1">
      <c r="A48" s="660"/>
      <c r="B48" s="472" t="s">
        <v>685</v>
      </c>
      <c r="C48" s="662" t="s">
        <v>783</v>
      </c>
      <c r="D48" s="331"/>
      <c r="E48" s="622"/>
      <c r="F48" s="622"/>
      <c r="G48" s="622"/>
      <c r="H48" s="622"/>
      <c r="I48" s="632"/>
      <c r="J48" s="618" t="s">
        <v>918</v>
      </c>
      <c r="K48" s="619"/>
      <c r="L48" s="364"/>
    </row>
    <row r="49" spans="1:15" ht="24.75" customHeight="1">
      <c r="A49" s="660"/>
      <c r="B49" s="472" t="s">
        <v>686</v>
      </c>
      <c r="C49" s="662" t="s">
        <v>783</v>
      </c>
      <c r="D49" s="331"/>
      <c r="E49" s="622"/>
      <c r="F49" s="622"/>
      <c r="G49" s="622"/>
      <c r="H49" s="622"/>
      <c r="I49" s="632"/>
      <c r="J49" s="618" t="s">
        <v>918</v>
      </c>
      <c r="K49" s="619"/>
      <c r="L49" s="364"/>
    </row>
    <row r="50" spans="1:15" ht="27">
      <c r="A50" s="660"/>
      <c r="B50" s="472" t="s">
        <v>679</v>
      </c>
      <c r="C50" s="662" t="s">
        <v>237</v>
      </c>
      <c r="D50" s="331"/>
      <c r="E50" s="677" t="s">
        <v>1269</v>
      </c>
      <c r="F50" s="633" t="s">
        <v>1275</v>
      </c>
      <c r="G50" s="633" t="s">
        <v>1277</v>
      </c>
      <c r="H50" s="633" t="s">
        <v>1286</v>
      </c>
      <c r="I50" s="633" t="s">
        <v>1281</v>
      </c>
      <c r="J50" s="618" t="s">
        <v>920</v>
      </c>
      <c r="K50" s="619"/>
      <c r="L50" s="364"/>
    </row>
    <row r="51" spans="1:15" ht="24.75" customHeight="1">
      <c r="A51" s="717" t="s">
        <v>1044</v>
      </c>
      <c r="B51" s="718"/>
      <c r="C51" s="368" t="s">
        <v>180</v>
      </c>
      <c r="D51" s="368" t="s">
        <v>384</v>
      </c>
      <c r="E51" s="372" t="s">
        <v>750</v>
      </c>
      <c r="F51" s="372" t="s">
        <v>355</v>
      </c>
      <c r="G51" s="372" t="s">
        <v>382</v>
      </c>
      <c r="H51" s="372" t="s">
        <v>383</v>
      </c>
      <c r="I51" s="372" t="s">
        <v>519</v>
      </c>
      <c r="J51" s="434" t="s">
        <v>905</v>
      </c>
      <c r="K51" s="434" t="s">
        <v>1046</v>
      </c>
      <c r="L51" s="364"/>
    </row>
    <row r="52" spans="1:15" ht="24.75" customHeight="1">
      <c r="A52" s="664"/>
      <c r="B52" s="665" t="s">
        <v>1037</v>
      </c>
      <c r="C52" s="662" t="str">
        <f>IF(D52="実測","㎞","-")</f>
        <v>㎞</v>
      </c>
      <c r="D52" s="634" t="s">
        <v>1198</v>
      </c>
      <c r="E52" s="635"/>
      <c r="F52" s="635"/>
      <c r="G52" s="635"/>
      <c r="H52" s="635"/>
      <c r="I52" s="635"/>
      <c r="J52" s="618" t="s">
        <v>1038</v>
      </c>
      <c r="K52" s="619"/>
      <c r="L52" s="364"/>
    </row>
    <row r="53" spans="1:15" ht="24.75" customHeight="1">
      <c r="A53" s="660"/>
      <c r="B53" s="472" t="s">
        <v>903</v>
      </c>
      <c r="C53" s="662" t="s">
        <v>237</v>
      </c>
      <c r="D53" s="634" t="s">
        <v>1253</v>
      </c>
      <c r="E53" s="649"/>
      <c r="F53" s="649"/>
      <c r="G53" s="649"/>
      <c r="H53" s="649"/>
      <c r="I53" s="649"/>
      <c r="J53" s="618" t="s">
        <v>920</v>
      </c>
      <c r="K53" s="619"/>
      <c r="L53" s="477"/>
      <c r="M53" s="477"/>
      <c r="N53" s="477"/>
      <c r="O53" s="475"/>
    </row>
    <row r="54" spans="1:15" ht="45.75" customHeight="1">
      <c r="A54" s="660"/>
      <c r="B54" s="450" t="s">
        <v>1106</v>
      </c>
      <c r="C54" s="662" t="str">
        <f>IF(D54="実測","㎞","-")</f>
        <v>-</v>
      </c>
      <c r="D54" s="634" t="s">
        <v>709</v>
      </c>
      <c r="E54" s="635"/>
      <c r="F54" s="409"/>
      <c r="G54" s="409"/>
      <c r="H54" s="409"/>
      <c r="I54" s="409"/>
      <c r="J54" s="618" t="s">
        <v>907</v>
      </c>
      <c r="K54" s="619"/>
      <c r="L54" s="477"/>
      <c r="M54" s="477"/>
      <c r="N54" s="477"/>
      <c r="O54" s="475"/>
    </row>
    <row r="55" spans="1:15" ht="73.5" customHeight="1">
      <c r="A55" s="660"/>
      <c r="B55" s="450" t="s">
        <v>1329</v>
      </c>
      <c r="C55" s="662" t="str">
        <f>IF(D55="実測","㎞","-")</f>
        <v>㎞</v>
      </c>
      <c r="D55" s="636" t="s">
        <v>831</v>
      </c>
      <c r="E55" s="635"/>
      <c r="F55" s="409"/>
      <c r="G55" s="409"/>
      <c r="H55" s="409"/>
      <c r="I55" s="409"/>
      <c r="J55" s="618" t="s">
        <v>907</v>
      </c>
      <c r="K55" s="619"/>
      <c r="L55" s="477"/>
      <c r="M55" s="477"/>
      <c r="N55" s="477"/>
      <c r="O55" s="475"/>
    </row>
    <row r="56" spans="1:15" ht="24.75" customHeight="1">
      <c r="A56" s="716" t="s">
        <v>915</v>
      </c>
      <c r="B56" s="717"/>
      <c r="C56" s="368" t="s">
        <v>180</v>
      </c>
      <c r="D56" s="368" t="s">
        <v>384</v>
      </c>
      <c r="E56" s="465"/>
      <c r="F56" s="465"/>
      <c r="G56" s="465"/>
      <c r="H56" s="465"/>
      <c r="I56" s="465"/>
      <c r="J56" s="434" t="s">
        <v>905</v>
      </c>
      <c r="K56" s="434" t="s">
        <v>1046</v>
      </c>
      <c r="L56" s="477"/>
      <c r="M56" s="477"/>
      <c r="N56" s="477"/>
      <c r="O56" s="475"/>
    </row>
    <row r="57" spans="1:15" ht="27">
      <c r="A57" s="660"/>
      <c r="B57" s="450" t="s">
        <v>782</v>
      </c>
      <c r="C57" s="662" t="s">
        <v>186</v>
      </c>
      <c r="D57" s="637" t="s">
        <v>1215</v>
      </c>
      <c r="E57" s="375"/>
      <c r="F57" s="375"/>
      <c r="G57" s="375"/>
      <c r="H57" s="375"/>
      <c r="I57" s="375"/>
      <c r="J57" s="468" t="s">
        <v>907</v>
      </c>
      <c r="K57" s="619"/>
      <c r="L57" s="477"/>
      <c r="M57" s="477"/>
      <c r="N57" s="477"/>
      <c r="O57" s="475"/>
    </row>
    <row r="58" spans="1:15" ht="24.75" customHeight="1">
      <c r="A58" s="660"/>
      <c r="B58" s="472" t="s">
        <v>331</v>
      </c>
      <c r="C58" s="662" t="s">
        <v>186</v>
      </c>
      <c r="D58" s="621"/>
      <c r="E58" s="375"/>
      <c r="F58" s="375"/>
      <c r="G58" s="375"/>
      <c r="H58" s="375"/>
      <c r="I58" s="375"/>
      <c r="J58" s="468" t="s">
        <v>907</v>
      </c>
      <c r="K58" s="619"/>
      <c r="L58" s="477"/>
      <c r="M58" s="477"/>
      <c r="N58" s="477"/>
      <c r="O58" s="475"/>
    </row>
    <row r="59" spans="1:15" ht="24.75" customHeight="1">
      <c r="A59" s="660"/>
      <c r="B59" s="450" t="s">
        <v>712</v>
      </c>
      <c r="C59" s="662" t="s">
        <v>713</v>
      </c>
      <c r="D59" s="638"/>
      <c r="E59" s="375"/>
      <c r="F59" s="375"/>
      <c r="G59" s="375"/>
      <c r="H59" s="375"/>
      <c r="I59" s="375"/>
      <c r="J59" s="468" t="s">
        <v>907</v>
      </c>
      <c r="K59" s="619"/>
      <c r="L59" s="477"/>
      <c r="M59" s="477"/>
      <c r="N59" s="477"/>
      <c r="O59" s="475"/>
    </row>
    <row r="60" spans="1:15" ht="24.75" customHeight="1">
      <c r="A60" s="716" t="s">
        <v>916</v>
      </c>
      <c r="B60" s="717"/>
      <c r="C60" s="368" t="s">
        <v>180</v>
      </c>
      <c r="D60" s="368" t="s">
        <v>384</v>
      </c>
      <c r="E60" s="466"/>
      <c r="F60" s="466"/>
      <c r="G60" s="466"/>
      <c r="H60" s="466"/>
      <c r="I60" s="466"/>
      <c r="J60" s="434" t="s">
        <v>905</v>
      </c>
      <c r="K60" s="434" t="s">
        <v>1046</v>
      </c>
      <c r="L60" s="477"/>
      <c r="M60" s="477"/>
      <c r="N60" s="477"/>
      <c r="O60" s="475"/>
    </row>
    <row r="61" spans="1:15" ht="24.75" customHeight="1">
      <c r="A61" s="660"/>
      <c r="B61" s="450" t="s">
        <v>781</v>
      </c>
      <c r="C61" s="662" t="s">
        <v>237</v>
      </c>
      <c r="D61" s="637" t="s">
        <v>1215</v>
      </c>
      <c r="E61" s="375"/>
      <c r="F61" s="375"/>
      <c r="G61" s="375"/>
      <c r="H61" s="375"/>
      <c r="I61" s="375"/>
      <c r="J61" s="618" t="s">
        <v>922</v>
      </c>
      <c r="K61" s="619"/>
      <c r="L61" s="477"/>
      <c r="M61" s="477"/>
      <c r="N61" s="477"/>
      <c r="O61" s="475"/>
    </row>
    <row r="62" spans="1:15" ht="24.75" customHeight="1">
      <c r="A62" s="660"/>
      <c r="B62" s="450" t="s">
        <v>723</v>
      </c>
      <c r="C62" s="662" t="s">
        <v>724</v>
      </c>
      <c r="D62" s="639">
        <v>0.2</v>
      </c>
      <c r="E62" s="375"/>
      <c r="F62" s="375"/>
      <c r="G62" s="375"/>
      <c r="H62" s="375"/>
      <c r="I62" s="375"/>
      <c r="J62" s="618" t="s">
        <v>922</v>
      </c>
      <c r="K62" s="619"/>
      <c r="L62" s="477"/>
      <c r="M62" s="477"/>
      <c r="N62" s="477"/>
      <c r="O62" s="475"/>
    </row>
    <row r="63" spans="1:15" ht="24.75" customHeight="1">
      <c r="A63" s="660"/>
      <c r="B63" s="450" t="s">
        <v>733</v>
      </c>
      <c r="C63" s="662" t="s">
        <v>717</v>
      </c>
      <c r="D63" s="638">
        <v>15</v>
      </c>
      <c r="E63" s="375"/>
      <c r="F63" s="375"/>
      <c r="G63" s="375"/>
      <c r="H63" s="375"/>
      <c r="I63" s="375"/>
      <c r="J63" s="618" t="s">
        <v>922</v>
      </c>
      <c r="K63" s="619"/>
      <c r="L63" s="477"/>
      <c r="M63" s="477"/>
      <c r="N63" s="477"/>
    </row>
    <row r="64" spans="1:15" ht="24.75" customHeight="1">
      <c r="A64" s="660"/>
      <c r="B64" s="450" t="s">
        <v>734</v>
      </c>
      <c r="C64" s="662" t="str">
        <f>IF(D64="実測","㎞","-")</f>
        <v>㎞</v>
      </c>
      <c r="D64" s="634" t="s">
        <v>831</v>
      </c>
      <c r="E64" s="469" t="str">
        <f>IF(D64="実測","（完成品の消費者までの輸送距離に同じ）","")</f>
        <v>（完成品の消費者までの輸送距離に同じ）</v>
      </c>
      <c r="F64" s="469"/>
      <c r="G64" s="469"/>
      <c r="H64" s="469"/>
      <c r="I64" s="469"/>
      <c r="J64" s="618" t="s">
        <v>922</v>
      </c>
      <c r="K64" s="619"/>
      <c r="L64" s="477"/>
      <c r="M64" s="477"/>
      <c r="N64" s="477"/>
    </row>
    <row r="65" spans="1:12" ht="24.75" customHeight="1">
      <c r="A65" s="715" t="s">
        <v>1345</v>
      </c>
      <c r="B65" s="715"/>
      <c r="C65" s="715"/>
    </row>
    <row r="66" spans="1:12" ht="24.75" hidden="1" customHeight="1">
      <c r="A66" s="386"/>
      <c r="B66" s="387" t="s">
        <v>748</v>
      </c>
      <c r="C66" s="385"/>
      <c r="D66" s="385"/>
      <c r="E66" s="385"/>
      <c r="F66" s="388"/>
      <c r="G66" s="388"/>
      <c r="H66" s="388"/>
      <c r="I66" s="388"/>
      <c r="J66" s="388"/>
      <c r="K66" s="365"/>
      <c r="L66" s="364"/>
    </row>
    <row r="67" spans="1:12" ht="24.75" hidden="1" customHeight="1">
      <c r="A67" s="386"/>
      <c r="B67" s="329" t="s">
        <v>380</v>
      </c>
      <c r="C67" s="329" t="s">
        <v>177</v>
      </c>
      <c r="D67" s="329" t="s">
        <v>15</v>
      </c>
      <c r="E67" s="329" t="s">
        <v>452</v>
      </c>
      <c r="F67" s="329" t="s">
        <v>453</v>
      </c>
      <c r="G67" s="329" t="s">
        <v>454</v>
      </c>
      <c r="H67" s="329" t="s">
        <v>455</v>
      </c>
      <c r="I67" s="329" t="s">
        <v>456</v>
      </c>
      <c r="J67" s="426"/>
      <c r="K67" s="389"/>
      <c r="L67" s="364"/>
    </row>
    <row r="68" spans="1:12" ht="24.75" hidden="1" customHeight="1">
      <c r="A68" s="386"/>
      <c r="B68" s="332" t="s">
        <v>381</v>
      </c>
      <c r="C68" s="331"/>
      <c r="D68" s="331" t="s">
        <v>376</v>
      </c>
      <c r="E68" s="390">
        <f t="shared" ref="E68:H70" si="2">E35</f>
        <v>0</v>
      </c>
      <c r="F68" s="330">
        <f t="shared" si="2"/>
        <v>0</v>
      </c>
      <c r="G68" s="330">
        <f t="shared" si="2"/>
        <v>0</v>
      </c>
      <c r="H68" s="330">
        <f t="shared" si="2"/>
        <v>0</v>
      </c>
      <c r="I68" s="330">
        <v>0</v>
      </c>
      <c r="J68" s="427"/>
      <c r="K68" s="365"/>
      <c r="L68" s="364"/>
    </row>
    <row r="69" spans="1:12" ht="24.75" hidden="1" customHeight="1">
      <c r="A69" s="386"/>
      <c r="B69" s="332" t="s">
        <v>960</v>
      </c>
      <c r="C69" s="331"/>
      <c r="D69" s="331" t="s">
        <v>376</v>
      </c>
      <c r="E69" s="390">
        <f t="shared" si="2"/>
        <v>0</v>
      </c>
      <c r="F69" s="330">
        <f t="shared" si="2"/>
        <v>0</v>
      </c>
      <c r="G69" s="330">
        <f t="shared" si="2"/>
        <v>0</v>
      </c>
      <c r="H69" s="330">
        <f t="shared" si="2"/>
        <v>0</v>
      </c>
      <c r="I69" s="330">
        <f>I36</f>
        <v>0</v>
      </c>
      <c r="J69" s="427"/>
      <c r="K69" s="367"/>
      <c r="L69" s="364"/>
    </row>
    <row r="70" spans="1:12" ht="24.75" hidden="1" customHeight="1">
      <c r="A70" s="386"/>
      <c r="B70" s="332" t="s">
        <v>961</v>
      </c>
      <c r="C70" s="331"/>
      <c r="D70" s="331" t="s">
        <v>376</v>
      </c>
      <c r="E70" s="390">
        <f t="shared" si="2"/>
        <v>0</v>
      </c>
      <c r="F70" s="330">
        <f t="shared" si="2"/>
        <v>0</v>
      </c>
      <c r="G70" s="330">
        <f t="shared" si="2"/>
        <v>0</v>
      </c>
      <c r="H70" s="330">
        <f t="shared" si="2"/>
        <v>0</v>
      </c>
      <c r="I70" s="330">
        <f>I37</f>
        <v>0</v>
      </c>
      <c r="J70" s="427"/>
      <c r="K70" s="365"/>
      <c r="L70" s="364"/>
    </row>
    <row r="71" spans="1:12" ht="24.75" hidden="1" customHeight="1">
      <c r="A71" s="386"/>
      <c r="B71" s="332" t="s">
        <v>440</v>
      </c>
      <c r="C71" s="331"/>
      <c r="D71" s="331" t="s">
        <v>377</v>
      </c>
      <c r="E71" s="390">
        <f>E41*1.15</f>
        <v>0</v>
      </c>
      <c r="F71" s="330">
        <f>F41*1.15</f>
        <v>0</v>
      </c>
      <c r="G71" s="330">
        <f>G41*1.15</f>
        <v>0</v>
      </c>
      <c r="H71" s="330">
        <f>H41*1.15</f>
        <v>0</v>
      </c>
      <c r="I71" s="330">
        <f>I41*1.15</f>
        <v>0</v>
      </c>
      <c r="J71" s="427"/>
      <c r="K71" s="367"/>
      <c r="L71" s="364"/>
    </row>
    <row r="72" spans="1:12" ht="24.75" hidden="1" customHeight="1">
      <c r="A72" s="386"/>
      <c r="B72" s="332" t="s">
        <v>765</v>
      </c>
      <c r="C72" s="331"/>
      <c r="D72" s="331" t="s">
        <v>438</v>
      </c>
      <c r="E72" s="390">
        <f>E42</f>
        <v>0</v>
      </c>
      <c r="F72" s="330">
        <f>F42</f>
        <v>0</v>
      </c>
      <c r="G72" s="330">
        <f>G42</f>
        <v>0</v>
      </c>
      <c r="H72" s="330">
        <f>H42</f>
        <v>0</v>
      </c>
      <c r="I72" s="330">
        <f>I42*1*160</f>
        <v>0</v>
      </c>
      <c r="J72" s="427"/>
      <c r="K72" s="364"/>
      <c r="L72" s="364"/>
    </row>
    <row r="73" spans="1:12" ht="24.75" hidden="1" customHeight="1">
      <c r="A73" s="386"/>
      <c r="B73" s="332" t="s">
        <v>442</v>
      </c>
      <c r="C73" s="334" t="s">
        <v>761</v>
      </c>
      <c r="D73" s="331" t="s">
        <v>378</v>
      </c>
      <c r="E73" s="391">
        <v>0.16</v>
      </c>
      <c r="F73" s="333">
        <v>0.16</v>
      </c>
      <c r="G73" s="333">
        <v>0.16</v>
      </c>
      <c r="H73" s="333">
        <v>0.16</v>
      </c>
      <c r="I73" s="333">
        <v>0.16</v>
      </c>
      <c r="J73" s="428"/>
      <c r="K73" s="365"/>
      <c r="L73" s="364"/>
    </row>
    <row r="74" spans="1:12" ht="24.75" hidden="1" customHeight="1">
      <c r="A74" s="386"/>
      <c r="B74" s="332" t="s">
        <v>443</v>
      </c>
      <c r="C74" s="334" t="s">
        <v>761</v>
      </c>
      <c r="D74" s="331" t="s">
        <v>378</v>
      </c>
      <c r="E74" s="391">
        <v>0.77</v>
      </c>
      <c r="F74" s="333">
        <v>0.77</v>
      </c>
      <c r="G74" s="333">
        <v>0.77</v>
      </c>
      <c r="H74" s="333">
        <v>0.77</v>
      </c>
      <c r="I74" s="333">
        <v>0.77</v>
      </c>
      <c r="J74" s="428"/>
      <c r="K74" s="365"/>
      <c r="L74" s="364"/>
    </row>
    <row r="75" spans="1:12" ht="24.75" hidden="1" customHeight="1">
      <c r="A75" s="386"/>
      <c r="B75" s="332" t="s">
        <v>444</v>
      </c>
      <c r="C75" s="334" t="s">
        <v>761</v>
      </c>
      <c r="D75" s="331" t="s">
        <v>378</v>
      </c>
      <c r="E75" s="392">
        <v>2.1999999999999999E-2</v>
      </c>
      <c r="F75" s="335">
        <v>2.1999999999999999E-2</v>
      </c>
      <c r="G75" s="335">
        <v>2.1999999999999999E-2</v>
      </c>
      <c r="H75" s="335">
        <v>2.1999999999999999E-2</v>
      </c>
      <c r="I75" s="335">
        <v>2.1999999999999999E-2</v>
      </c>
      <c r="J75" s="429"/>
      <c r="K75" s="365"/>
      <c r="L75" s="364"/>
    </row>
    <row r="76" spans="1:12" ht="24.75" hidden="1" customHeight="1">
      <c r="A76" s="386"/>
      <c r="B76" s="332" t="s">
        <v>445</v>
      </c>
      <c r="C76" s="334" t="s">
        <v>761</v>
      </c>
      <c r="D76" s="331" t="s">
        <v>378</v>
      </c>
      <c r="E76" s="391">
        <v>0.8</v>
      </c>
      <c r="F76" s="333">
        <v>0.8</v>
      </c>
      <c r="G76" s="333">
        <v>0.8</v>
      </c>
      <c r="H76" s="333">
        <v>0.8</v>
      </c>
      <c r="I76" s="333">
        <v>0.8</v>
      </c>
      <c r="J76" s="428"/>
      <c r="K76" s="365"/>
      <c r="L76" s="364"/>
    </row>
    <row r="77" spans="1:12" ht="24.75" hidden="1" customHeight="1">
      <c r="A77" s="386"/>
      <c r="B77" s="332" t="s">
        <v>446</v>
      </c>
      <c r="C77" s="334" t="s">
        <v>754</v>
      </c>
      <c r="D77" s="331" t="s">
        <v>377</v>
      </c>
      <c r="E77" s="379">
        <f>E73*E71</f>
        <v>0</v>
      </c>
      <c r="F77" s="331">
        <f>F73*F71</f>
        <v>0</v>
      </c>
      <c r="G77" s="331">
        <f>G73*G71</f>
        <v>0</v>
      </c>
      <c r="H77" s="331">
        <f>H73*H71</f>
        <v>0</v>
      </c>
      <c r="I77" s="331">
        <v>0</v>
      </c>
      <c r="J77" s="338"/>
      <c r="K77" s="365"/>
      <c r="L77" s="364"/>
    </row>
    <row r="78" spans="1:12" ht="24.75" hidden="1" customHeight="1">
      <c r="A78" s="386"/>
      <c r="B78" s="332" t="s">
        <v>447</v>
      </c>
      <c r="C78" s="334" t="s">
        <v>755</v>
      </c>
      <c r="D78" s="331" t="s">
        <v>377</v>
      </c>
      <c r="E78" s="379">
        <f t="shared" ref="E78:I79" si="3">E74*E71</f>
        <v>0</v>
      </c>
      <c r="F78" s="331">
        <f t="shared" si="3"/>
        <v>0</v>
      </c>
      <c r="G78" s="331">
        <f t="shared" si="3"/>
        <v>0</v>
      </c>
      <c r="H78" s="331">
        <f t="shared" si="3"/>
        <v>0</v>
      </c>
      <c r="I78" s="331">
        <f t="shared" si="3"/>
        <v>0</v>
      </c>
      <c r="J78" s="338"/>
      <c r="K78" s="365"/>
      <c r="L78" s="364"/>
    </row>
    <row r="79" spans="1:12" ht="24.75" hidden="1" customHeight="1">
      <c r="A79" s="386"/>
      <c r="B79" s="332" t="s">
        <v>448</v>
      </c>
      <c r="C79" s="334" t="s">
        <v>756</v>
      </c>
      <c r="D79" s="331" t="s">
        <v>438</v>
      </c>
      <c r="E79" s="379">
        <f t="shared" si="3"/>
        <v>0</v>
      </c>
      <c r="F79" s="331">
        <f t="shared" si="3"/>
        <v>0</v>
      </c>
      <c r="G79" s="331">
        <f t="shared" si="3"/>
        <v>0</v>
      </c>
      <c r="H79" s="331">
        <f t="shared" si="3"/>
        <v>0</v>
      </c>
      <c r="I79" s="331">
        <f t="shared" si="3"/>
        <v>0</v>
      </c>
      <c r="J79" s="338"/>
      <c r="K79" s="367"/>
      <c r="L79" s="364"/>
    </row>
    <row r="80" spans="1:12" ht="24.75" hidden="1" customHeight="1">
      <c r="A80" s="386"/>
      <c r="B80" s="332" t="s">
        <v>449</v>
      </c>
      <c r="C80" s="334" t="s">
        <v>757</v>
      </c>
      <c r="D80" s="331" t="s">
        <v>438</v>
      </c>
      <c r="E80" s="379">
        <f>E76*E72</f>
        <v>0</v>
      </c>
      <c r="F80" s="331">
        <f>F76*F72</f>
        <v>0</v>
      </c>
      <c r="G80" s="331">
        <f>G76*G72</f>
        <v>0</v>
      </c>
      <c r="H80" s="331">
        <f>H76*H72</f>
        <v>0</v>
      </c>
      <c r="I80" s="331">
        <f>I76*I72</f>
        <v>0</v>
      </c>
      <c r="J80" s="338"/>
      <c r="K80" s="365"/>
      <c r="L80" s="364"/>
    </row>
    <row r="81" spans="1:12" ht="24.75" hidden="1" customHeight="1">
      <c r="A81" s="386"/>
      <c r="B81" s="332" t="s">
        <v>450</v>
      </c>
      <c r="C81" s="334" t="s">
        <v>758</v>
      </c>
      <c r="D81" s="331" t="s">
        <v>439</v>
      </c>
      <c r="E81" s="393" t="str">
        <f>IFERROR(E69/E79,"0")</f>
        <v>0</v>
      </c>
      <c r="F81" s="345" t="str">
        <f>IFERROR(F69/F79,"0")</f>
        <v>0</v>
      </c>
      <c r="G81" s="345" t="str">
        <f>IFERROR(G69/G79,"0")</f>
        <v>0</v>
      </c>
      <c r="H81" s="345" t="str">
        <f>IFERROR(H69/H79,"0")</f>
        <v>0</v>
      </c>
      <c r="I81" s="331" t="str">
        <f>IFERROR(I69/I79,"0")</f>
        <v>0</v>
      </c>
      <c r="J81" s="338"/>
      <c r="K81" s="365"/>
      <c r="L81" s="364"/>
    </row>
    <row r="82" spans="1:12" ht="24.75" hidden="1" customHeight="1">
      <c r="A82" s="386"/>
      <c r="B82" s="332" t="s">
        <v>451</v>
      </c>
      <c r="C82" s="334" t="s">
        <v>759</v>
      </c>
      <c r="D82" s="331" t="s">
        <v>439</v>
      </c>
      <c r="E82" s="393" t="str">
        <f>IFERROR((E68+E70)/E80,"0")</f>
        <v>0</v>
      </c>
      <c r="F82" s="345" t="str">
        <f>IFERROR((F68+F70)/F80,"0")</f>
        <v>0</v>
      </c>
      <c r="G82" s="345" t="str">
        <f>IFERROR((G68+G70)/G80,"0")</f>
        <v>0</v>
      </c>
      <c r="H82" s="345" t="str">
        <f>IFERROR((H68+H70)/H80,"0")</f>
        <v>0</v>
      </c>
      <c r="I82" s="345" t="str">
        <f>IFERROR((I68+I70)/I80,"0")</f>
        <v>0</v>
      </c>
      <c r="J82" s="339"/>
      <c r="K82" s="365"/>
      <c r="L82" s="364"/>
    </row>
    <row r="83" spans="1:12" ht="24.75" hidden="1" customHeight="1">
      <c r="A83" s="386"/>
      <c r="B83" s="332" t="s">
        <v>776</v>
      </c>
      <c r="C83" s="334" t="s">
        <v>760</v>
      </c>
      <c r="D83" s="331" t="s">
        <v>379</v>
      </c>
      <c r="E83" s="393">
        <f>(E77*E81)+(E78*E82)</f>
        <v>0</v>
      </c>
      <c r="F83" s="345">
        <f>(F77*F81)+(F78*F82)</f>
        <v>0</v>
      </c>
      <c r="G83" s="345">
        <f>(G77*G81)+(G78*G82)</f>
        <v>0</v>
      </c>
      <c r="H83" s="345">
        <f>(H77*H81)+(H78*H82)</f>
        <v>0</v>
      </c>
      <c r="I83" s="345">
        <f>(I77*I81)+(I78*I82)</f>
        <v>0</v>
      </c>
      <c r="J83" s="339"/>
      <c r="K83" s="365"/>
      <c r="L83" s="364"/>
    </row>
    <row r="84" spans="1:12" ht="24.75" hidden="1" customHeight="1">
      <c r="A84" s="386"/>
      <c r="B84" s="336"/>
      <c r="C84" s="337"/>
      <c r="D84" s="338"/>
      <c r="E84" s="394"/>
      <c r="F84" s="339"/>
      <c r="G84" s="339"/>
      <c r="H84" s="339"/>
      <c r="I84" s="339"/>
      <c r="J84" s="339"/>
      <c r="K84" s="365"/>
      <c r="L84" s="364"/>
    </row>
    <row r="85" spans="1:12" ht="24.75" hidden="1" customHeight="1">
      <c r="A85" s="386"/>
      <c r="B85" s="395" t="s">
        <v>763</v>
      </c>
      <c r="C85" s="388"/>
      <c r="D85" s="388"/>
      <c r="E85" s="385"/>
      <c r="F85" s="385"/>
      <c r="G85" s="385"/>
      <c r="H85" s="388"/>
      <c r="I85" s="388"/>
      <c r="J85" s="388"/>
      <c r="K85" s="365"/>
      <c r="L85" s="364"/>
    </row>
    <row r="86" spans="1:12" ht="24.75" hidden="1" customHeight="1">
      <c r="A86" s="386"/>
      <c r="B86" s="329" t="s">
        <v>380</v>
      </c>
      <c r="C86" s="340" t="s">
        <v>177</v>
      </c>
      <c r="D86" s="329" t="s">
        <v>15</v>
      </c>
      <c r="E86" s="329" t="s">
        <v>452</v>
      </c>
      <c r="F86" s="329" t="s">
        <v>453</v>
      </c>
      <c r="G86" s="329" t="s">
        <v>454</v>
      </c>
      <c r="H86" s="329" t="s">
        <v>455</v>
      </c>
      <c r="I86" s="329" t="s">
        <v>456</v>
      </c>
      <c r="J86" s="426"/>
      <c r="K86" s="365"/>
    </row>
    <row r="87" spans="1:12" ht="24.75" hidden="1" customHeight="1">
      <c r="A87" s="386"/>
      <c r="B87" s="332" t="s">
        <v>381</v>
      </c>
      <c r="C87" s="334"/>
      <c r="D87" s="331" t="s">
        <v>376</v>
      </c>
      <c r="E87" s="330">
        <f t="shared" ref="E87:I89" si="4">E35</f>
        <v>0</v>
      </c>
      <c r="F87" s="330">
        <f t="shared" si="4"/>
        <v>0</v>
      </c>
      <c r="G87" s="330">
        <f t="shared" si="4"/>
        <v>0</v>
      </c>
      <c r="H87" s="330">
        <f t="shared" si="4"/>
        <v>0</v>
      </c>
      <c r="I87" s="330">
        <f t="shared" si="4"/>
        <v>0</v>
      </c>
      <c r="J87" s="427"/>
      <c r="K87" s="389"/>
    </row>
    <row r="88" spans="1:12" ht="24.75" hidden="1" customHeight="1">
      <c r="A88" s="386"/>
      <c r="B88" s="332" t="s">
        <v>960</v>
      </c>
      <c r="C88" s="334"/>
      <c r="D88" s="331" t="s">
        <v>376</v>
      </c>
      <c r="E88" s="330">
        <f t="shared" si="4"/>
        <v>0</v>
      </c>
      <c r="F88" s="330">
        <f t="shared" si="4"/>
        <v>0</v>
      </c>
      <c r="G88" s="330">
        <f t="shared" si="4"/>
        <v>0</v>
      </c>
      <c r="H88" s="330">
        <f t="shared" si="4"/>
        <v>0</v>
      </c>
      <c r="I88" s="330">
        <f t="shared" si="4"/>
        <v>0</v>
      </c>
      <c r="J88" s="427"/>
      <c r="K88" s="365"/>
    </row>
    <row r="89" spans="1:12" ht="24.75" hidden="1" customHeight="1">
      <c r="A89" s="386"/>
      <c r="B89" s="332" t="s">
        <v>961</v>
      </c>
      <c r="C89" s="334"/>
      <c r="D89" s="331" t="s">
        <v>376</v>
      </c>
      <c r="E89" s="330">
        <f t="shared" si="4"/>
        <v>0</v>
      </c>
      <c r="F89" s="330">
        <f t="shared" si="4"/>
        <v>0</v>
      </c>
      <c r="G89" s="330">
        <f t="shared" si="4"/>
        <v>0</v>
      </c>
      <c r="H89" s="330">
        <f t="shared" si="4"/>
        <v>0</v>
      </c>
      <c r="I89" s="330">
        <f t="shared" si="4"/>
        <v>0</v>
      </c>
      <c r="J89" s="427"/>
      <c r="K89" s="365"/>
    </row>
    <row r="90" spans="1:12" ht="24.75" hidden="1" customHeight="1">
      <c r="A90" s="386"/>
      <c r="B90" s="332" t="s">
        <v>440</v>
      </c>
      <c r="C90" s="334"/>
      <c r="D90" s="331" t="s">
        <v>377</v>
      </c>
      <c r="E90" s="390">
        <f>VLOOKUP(E44,原単位一覧!$A$70:$B$76,2,FALSE)</f>
        <v>670</v>
      </c>
      <c r="F90" s="390">
        <f>VLOOKUP(F44,原単位一覧!$A$70:$B$76,2,FALSE)</f>
        <v>960</v>
      </c>
      <c r="G90" s="390">
        <f>VLOOKUP(G44,原単位一覧!$A$70:$B$76,2,FALSE)</f>
        <v>1100</v>
      </c>
      <c r="H90" s="390">
        <f>VLOOKUP(H44,原単位一覧!$A$70:$B$76,2,FALSE)</f>
        <v>670</v>
      </c>
      <c r="I90" s="390">
        <f>VLOOKUP(I44,原単位一覧!$A$70:$B$76,2,FALSE)</f>
        <v>480</v>
      </c>
      <c r="J90" s="430"/>
      <c r="K90" s="365"/>
    </row>
    <row r="91" spans="1:12" ht="24.75" hidden="1" customHeight="1">
      <c r="A91" s="386"/>
      <c r="B91" s="332" t="s">
        <v>441</v>
      </c>
      <c r="C91" s="334"/>
      <c r="D91" s="331" t="s">
        <v>438</v>
      </c>
      <c r="E91" s="390">
        <f>E42*1*60</f>
        <v>0</v>
      </c>
      <c r="F91" s="390">
        <f>F42*1*60</f>
        <v>0</v>
      </c>
      <c r="G91" s="390">
        <f>G42*1*60</f>
        <v>0</v>
      </c>
      <c r="H91" s="390">
        <f>H42*1*60</f>
        <v>0</v>
      </c>
      <c r="I91" s="390">
        <f>I42*1*60</f>
        <v>0</v>
      </c>
      <c r="J91" s="430"/>
      <c r="K91" s="365"/>
    </row>
    <row r="92" spans="1:12" ht="24.75" hidden="1" customHeight="1">
      <c r="A92" s="386"/>
      <c r="B92" s="332" t="s">
        <v>442</v>
      </c>
      <c r="C92" s="334" t="s">
        <v>762</v>
      </c>
      <c r="D92" s="331" t="s">
        <v>378</v>
      </c>
      <c r="E92" s="391">
        <v>0.21</v>
      </c>
      <c r="F92" s="391">
        <v>0.21</v>
      </c>
      <c r="G92" s="391">
        <v>0.21</v>
      </c>
      <c r="H92" s="391">
        <v>0.21</v>
      </c>
      <c r="I92" s="391">
        <v>0.21</v>
      </c>
      <c r="J92" s="431"/>
      <c r="K92" s="365"/>
    </row>
    <row r="93" spans="1:12" ht="24.75" hidden="1" customHeight="1">
      <c r="A93" s="386"/>
      <c r="B93" s="332" t="s">
        <v>443</v>
      </c>
      <c r="C93" s="334" t="s">
        <v>762</v>
      </c>
      <c r="D93" s="331" t="s">
        <v>378</v>
      </c>
      <c r="E93" s="391">
        <v>0.5</v>
      </c>
      <c r="F93" s="391">
        <v>0.5</v>
      </c>
      <c r="G93" s="391">
        <v>0.5</v>
      </c>
      <c r="H93" s="391">
        <v>0.5</v>
      </c>
      <c r="I93" s="391">
        <v>0.5</v>
      </c>
      <c r="J93" s="431"/>
      <c r="K93" s="365"/>
    </row>
    <row r="94" spans="1:12" ht="24.75" hidden="1" customHeight="1">
      <c r="A94" s="386"/>
      <c r="B94" s="332" t="s">
        <v>444</v>
      </c>
      <c r="C94" s="334" t="s">
        <v>762</v>
      </c>
      <c r="D94" s="331" t="s">
        <v>378</v>
      </c>
      <c r="E94" s="392">
        <v>5.8999999999999997E-2</v>
      </c>
      <c r="F94" s="392">
        <v>5.8999999999999997E-2</v>
      </c>
      <c r="G94" s="392">
        <v>5.8999999999999997E-2</v>
      </c>
      <c r="H94" s="392">
        <v>5.8999999999999997E-2</v>
      </c>
      <c r="I94" s="392">
        <v>5.8999999999999997E-2</v>
      </c>
      <c r="J94" s="432"/>
      <c r="K94" s="365"/>
    </row>
    <row r="95" spans="1:12" ht="24.75" hidden="1" customHeight="1">
      <c r="A95" s="386"/>
      <c r="B95" s="332" t="s">
        <v>445</v>
      </c>
      <c r="C95" s="334" t="s">
        <v>762</v>
      </c>
      <c r="D95" s="331" t="s">
        <v>378</v>
      </c>
      <c r="E95" s="391">
        <v>0.8</v>
      </c>
      <c r="F95" s="391">
        <v>0.8</v>
      </c>
      <c r="G95" s="391">
        <v>0.8</v>
      </c>
      <c r="H95" s="391">
        <v>0.8</v>
      </c>
      <c r="I95" s="391">
        <v>0.8</v>
      </c>
      <c r="J95" s="431"/>
      <c r="K95" s="365"/>
    </row>
    <row r="96" spans="1:12" ht="24.75" hidden="1" customHeight="1">
      <c r="A96" s="386"/>
      <c r="B96" s="332" t="s">
        <v>446</v>
      </c>
      <c r="C96" s="334" t="s">
        <v>754</v>
      </c>
      <c r="D96" s="331" t="s">
        <v>377</v>
      </c>
      <c r="E96" s="379">
        <f>E92*E90</f>
        <v>140.69999999999999</v>
      </c>
      <c r="F96" s="379">
        <f>F92*F90</f>
        <v>201.6</v>
      </c>
      <c r="G96" s="379">
        <f>G92*G90</f>
        <v>231</v>
      </c>
      <c r="H96" s="379">
        <f>H92*H90</f>
        <v>140.69999999999999</v>
      </c>
      <c r="I96" s="379">
        <f>I92*I90</f>
        <v>100.8</v>
      </c>
      <c r="J96" s="433"/>
      <c r="K96" s="365"/>
    </row>
    <row r="97" spans="1:12" ht="24.75" hidden="1" customHeight="1">
      <c r="A97" s="386"/>
      <c r="B97" s="332" t="s">
        <v>447</v>
      </c>
      <c r="C97" s="334" t="s">
        <v>755</v>
      </c>
      <c r="D97" s="331" t="s">
        <v>377</v>
      </c>
      <c r="E97" s="379">
        <f>E93*E90</f>
        <v>335</v>
      </c>
      <c r="F97" s="331">
        <f t="shared" ref="F97:I98" si="5">F93*F90</f>
        <v>480</v>
      </c>
      <c r="G97" s="331">
        <f t="shared" si="5"/>
        <v>550</v>
      </c>
      <c r="H97" s="331">
        <f t="shared" si="5"/>
        <v>335</v>
      </c>
      <c r="I97" s="331">
        <f t="shared" si="5"/>
        <v>240</v>
      </c>
      <c r="J97" s="338"/>
      <c r="K97" s="365"/>
    </row>
    <row r="98" spans="1:12" ht="24.75" hidden="1" customHeight="1">
      <c r="A98" s="386"/>
      <c r="B98" s="332" t="s">
        <v>448</v>
      </c>
      <c r="C98" s="334" t="s">
        <v>756</v>
      </c>
      <c r="D98" s="331" t="s">
        <v>438</v>
      </c>
      <c r="E98" s="379">
        <f>E94*E91</f>
        <v>0</v>
      </c>
      <c r="F98" s="379">
        <f t="shared" si="5"/>
        <v>0</v>
      </c>
      <c r="G98" s="379">
        <f t="shared" si="5"/>
        <v>0</v>
      </c>
      <c r="H98" s="379">
        <f t="shared" si="5"/>
        <v>0</v>
      </c>
      <c r="I98" s="379">
        <f t="shared" si="5"/>
        <v>0</v>
      </c>
      <c r="J98" s="433"/>
      <c r="K98" s="365"/>
    </row>
    <row r="99" spans="1:12" ht="24.75" hidden="1" customHeight="1">
      <c r="A99" s="386"/>
      <c r="B99" s="332" t="s">
        <v>449</v>
      </c>
      <c r="C99" s="334" t="s">
        <v>757</v>
      </c>
      <c r="D99" s="331" t="s">
        <v>438</v>
      </c>
      <c r="E99" s="379">
        <f>E95*E91</f>
        <v>0</v>
      </c>
      <c r="F99" s="331">
        <f>F95*F91</f>
        <v>0</v>
      </c>
      <c r="G99" s="331">
        <f>G95*G91</f>
        <v>0</v>
      </c>
      <c r="H99" s="331">
        <f>H95*H91</f>
        <v>0</v>
      </c>
      <c r="I99" s="331">
        <f>I95*I91</f>
        <v>0</v>
      </c>
      <c r="J99" s="338"/>
      <c r="K99" s="365"/>
    </row>
    <row r="100" spans="1:12" ht="24.75" hidden="1" customHeight="1">
      <c r="A100" s="386"/>
      <c r="B100" s="332" t="s">
        <v>450</v>
      </c>
      <c r="C100" s="334" t="s">
        <v>758</v>
      </c>
      <c r="D100" s="331" t="s">
        <v>439</v>
      </c>
      <c r="E100" s="393">
        <f>IFERROR(E88/E98,0)</f>
        <v>0</v>
      </c>
      <c r="F100" s="345">
        <f>IFERROR(F88/F98,0)</f>
        <v>0</v>
      </c>
      <c r="G100" s="345">
        <f>IFERROR(G88/G98,0)</f>
        <v>0</v>
      </c>
      <c r="H100" s="345">
        <f>IFERROR(H88/H98,0)</f>
        <v>0</v>
      </c>
      <c r="I100" s="331">
        <f>IFERROR(I88/I98,0)</f>
        <v>0</v>
      </c>
      <c r="J100" s="338"/>
      <c r="K100" s="365"/>
    </row>
    <row r="101" spans="1:12" ht="24.75" hidden="1" customHeight="1">
      <c r="A101" s="386"/>
      <c r="B101" s="332" t="s">
        <v>451</v>
      </c>
      <c r="C101" s="334" t="s">
        <v>759</v>
      </c>
      <c r="D101" s="331" t="s">
        <v>439</v>
      </c>
      <c r="E101" s="393">
        <f>IFERROR((E87+E89)/E99,0)</f>
        <v>0</v>
      </c>
      <c r="F101" s="345">
        <f>IFERROR((F87+F89)/F99,0)</f>
        <v>0</v>
      </c>
      <c r="G101" s="345">
        <f>IFERROR((G87+G89)/G99,0)</f>
        <v>0</v>
      </c>
      <c r="H101" s="345">
        <f>IFERROR((H87+H89)/H99,0)</f>
        <v>0</v>
      </c>
      <c r="I101" s="345">
        <f>IFERROR((I87+I89)/I99,0)</f>
        <v>0</v>
      </c>
      <c r="J101" s="339"/>
      <c r="K101" s="365"/>
    </row>
    <row r="102" spans="1:12" ht="54" hidden="1">
      <c r="A102" s="386"/>
      <c r="B102" s="332" t="s">
        <v>776</v>
      </c>
      <c r="C102" s="334" t="s">
        <v>760</v>
      </c>
      <c r="D102" s="331" t="s">
        <v>379</v>
      </c>
      <c r="E102" s="393">
        <f>(E96*E100)+(E97*E101)</f>
        <v>0</v>
      </c>
      <c r="F102" s="345">
        <f>(F96*F100)+(F97*F101)</f>
        <v>0</v>
      </c>
      <c r="G102" s="345">
        <f>(G96*G100)+(G97*G101)</f>
        <v>0</v>
      </c>
      <c r="H102" s="345">
        <f>(H96*H100)+(H97*H101)</f>
        <v>0</v>
      </c>
      <c r="I102" s="345">
        <f>(I96*I100)+(I97*I101)</f>
        <v>0</v>
      </c>
      <c r="J102" s="339"/>
      <c r="K102" s="365"/>
    </row>
    <row r="103" spans="1:12" ht="24.75" hidden="1" customHeight="1">
      <c r="A103" s="386"/>
      <c r="B103" s="388"/>
      <c r="C103" s="388"/>
      <c r="D103" s="388"/>
      <c r="E103" s="387"/>
      <c r="F103" s="385"/>
      <c r="G103" s="385"/>
      <c r="H103" s="385"/>
      <c r="I103" s="388"/>
      <c r="J103" s="388"/>
      <c r="K103" s="365"/>
    </row>
    <row r="104" spans="1:12" ht="24.75" hidden="1" customHeight="1">
      <c r="A104" s="386"/>
      <c r="B104" s="396" t="s">
        <v>766</v>
      </c>
      <c r="C104" s="388"/>
      <c r="D104" s="388"/>
      <c r="E104" s="387"/>
      <c r="F104" s="385"/>
      <c r="G104" s="385"/>
      <c r="H104" s="385"/>
      <c r="I104" s="388"/>
      <c r="J104" s="388"/>
      <c r="K104" s="365"/>
    </row>
    <row r="105" spans="1:12" ht="24.75" hidden="1" customHeight="1">
      <c r="A105" s="386"/>
      <c r="B105" s="379" t="s">
        <v>806</v>
      </c>
      <c r="C105" s="331"/>
      <c r="D105" s="331"/>
      <c r="E105" s="331">
        <f>E41</f>
        <v>0</v>
      </c>
      <c r="F105" s="331">
        <f>F41</f>
        <v>0</v>
      </c>
      <c r="G105" s="331">
        <f>G41</f>
        <v>0</v>
      </c>
      <c r="H105" s="331">
        <f>H41</f>
        <v>0</v>
      </c>
      <c r="I105" s="331">
        <f>I41</f>
        <v>0</v>
      </c>
      <c r="J105" s="338"/>
      <c r="K105" s="365"/>
    </row>
    <row r="106" spans="1:12" ht="24.75" hidden="1" customHeight="1">
      <c r="A106" s="386"/>
      <c r="B106" s="379" t="s">
        <v>803</v>
      </c>
      <c r="C106" s="331"/>
      <c r="D106" s="331"/>
      <c r="E106" s="331">
        <v>5</v>
      </c>
      <c r="F106" s="375">
        <v>5</v>
      </c>
      <c r="G106" s="331">
        <v>5</v>
      </c>
      <c r="H106" s="375">
        <v>5</v>
      </c>
      <c r="I106" s="331">
        <v>5</v>
      </c>
      <c r="J106" s="338"/>
      <c r="K106" s="365"/>
    </row>
    <row r="107" spans="1:12" ht="24.75" hidden="1" customHeight="1">
      <c r="A107" s="386"/>
      <c r="B107" s="379" t="s">
        <v>804</v>
      </c>
      <c r="C107" s="331"/>
      <c r="D107" s="331"/>
      <c r="E107" s="331">
        <f>(INT((($E$42^2)*0.5)/32))*32</f>
        <v>0</v>
      </c>
      <c r="F107" s="331">
        <f>(INT((($F$42^2)*0.5)/32))*32</f>
        <v>0</v>
      </c>
      <c r="G107" s="331">
        <f>(INT((($G$42^2)*0.5)/32))*32</f>
        <v>0</v>
      </c>
      <c r="H107" s="331">
        <f>(INT((($H$42^2)*0.5)/32))*32</f>
        <v>0</v>
      </c>
      <c r="I107" s="331">
        <f>(INT((($I$42^2)*0.5)/32))*32</f>
        <v>0</v>
      </c>
      <c r="J107" s="367" t="s">
        <v>845</v>
      </c>
      <c r="K107" s="365"/>
      <c r="L107" s="364"/>
    </row>
    <row r="108" spans="1:12" ht="24.75" hidden="1" customHeight="1">
      <c r="A108" s="386"/>
      <c r="B108" s="379" t="s">
        <v>805</v>
      </c>
      <c r="C108" s="331"/>
      <c r="D108" s="331"/>
      <c r="E108" s="474">
        <f>IFERROR(E105/E106/E107,0)</f>
        <v>0</v>
      </c>
      <c r="F108" s="331">
        <f>IFERROR(F105/F106/F107,0)</f>
        <v>0</v>
      </c>
      <c r="G108" s="331">
        <f>IFERROR(G105/G106/G107,0)</f>
        <v>0</v>
      </c>
      <c r="H108" s="331">
        <f>IFERROR(H105/H106/H107,0)</f>
        <v>0</v>
      </c>
      <c r="I108" s="331">
        <f>IFERROR(I105/I106/I107,0)</f>
        <v>0</v>
      </c>
      <c r="J108" s="338"/>
      <c r="K108" s="365"/>
    </row>
    <row r="109" spans="1:12" ht="24.75" hidden="1" customHeight="1">
      <c r="A109" s="386"/>
      <c r="B109" s="379" t="s">
        <v>1064</v>
      </c>
      <c r="C109" s="331"/>
      <c r="D109" s="331"/>
      <c r="E109" s="331">
        <f>E43</f>
        <v>0</v>
      </c>
      <c r="F109" s="331">
        <f>F43</f>
        <v>0</v>
      </c>
      <c r="G109" s="331">
        <f>G43</f>
        <v>0</v>
      </c>
      <c r="H109" s="331">
        <f>H43</f>
        <v>0</v>
      </c>
      <c r="I109" s="331">
        <f>I43</f>
        <v>0</v>
      </c>
      <c r="J109" s="338"/>
      <c r="K109" s="365"/>
    </row>
    <row r="110" spans="1:12" ht="24.75" hidden="1" customHeight="1">
      <c r="A110" s="386"/>
      <c r="B110" s="379" t="s">
        <v>807</v>
      </c>
      <c r="C110" s="331"/>
      <c r="D110" s="331"/>
      <c r="E110" s="399" t="e">
        <f>(E109)/($E$42*60*1000)</f>
        <v>#DIV/0!</v>
      </c>
      <c r="F110" s="399" t="e">
        <f>(F109)/($E$42*60*1000)</f>
        <v>#DIV/0!</v>
      </c>
      <c r="G110" s="399" t="e">
        <f>(G109)/($E$42*60*1000)</f>
        <v>#DIV/0!</v>
      </c>
      <c r="H110" s="399" t="e">
        <f>(H109)/($E$42*60*1000)</f>
        <v>#DIV/0!</v>
      </c>
      <c r="I110" s="399" t="e">
        <f>(I109)/($E$42*60*1000)</f>
        <v>#DIV/0!</v>
      </c>
      <c r="J110" s="338"/>
      <c r="K110" s="365"/>
    </row>
    <row r="111" spans="1:12" ht="24.75" hidden="1" customHeight="1">
      <c r="A111" s="386"/>
      <c r="B111" s="379" t="s">
        <v>1133</v>
      </c>
      <c r="C111" s="331"/>
      <c r="D111" s="331" t="s">
        <v>379</v>
      </c>
      <c r="E111" s="449" t="e">
        <f>(E110+E108)*(E35+E36+E37)</f>
        <v>#DIV/0!</v>
      </c>
      <c r="F111" s="449" t="e">
        <f>(F110+F108)*(F35+F36+F37)</f>
        <v>#DIV/0!</v>
      </c>
      <c r="G111" s="449" t="e">
        <f>(G110+G108)*(G35+G36+G37)</f>
        <v>#DIV/0!</v>
      </c>
      <c r="H111" s="449" t="e">
        <f>(H110+H108)*(H35+H36+H37)</f>
        <v>#DIV/0!</v>
      </c>
      <c r="I111" s="449" t="e">
        <f>(I110+I108)*(I35+I36+I37)</f>
        <v>#DIV/0!</v>
      </c>
    </row>
    <row r="112" spans="1:12" ht="24.75" hidden="1" customHeight="1">
      <c r="C112" s="367"/>
    </row>
    <row r="113" spans="1:12" ht="24.75" hidden="1" customHeight="1">
      <c r="B113" s="435" t="s">
        <v>906</v>
      </c>
      <c r="C113" s="363"/>
      <c r="D113" s="374" t="s">
        <v>950</v>
      </c>
      <c r="E113" s="377" t="s">
        <v>955</v>
      </c>
      <c r="F113" s="377" t="s">
        <v>956</v>
      </c>
      <c r="G113" s="377" t="s">
        <v>957</v>
      </c>
      <c r="H113" s="377" t="s">
        <v>958</v>
      </c>
      <c r="I113" s="377" t="s">
        <v>959</v>
      </c>
      <c r="K113" s="365"/>
      <c r="L113" s="364"/>
    </row>
    <row r="114" spans="1:12" ht="24.75" hidden="1" customHeight="1">
      <c r="B114" s="435" t="s">
        <v>908</v>
      </c>
      <c r="C114" s="363"/>
      <c r="D114" s="374" t="s">
        <v>951</v>
      </c>
      <c r="E114" s="377">
        <f>E83</f>
        <v>0</v>
      </c>
      <c r="F114" s="377">
        <f>F83</f>
        <v>0</v>
      </c>
      <c r="G114" s="377">
        <f>G83</f>
        <v>0</v>
      </c>
      <c r="H114" s="377">
        <f>H83</f>
        <v>0</v>
      </c>
      <c r="I114" s="377">
        <f>I83</f>
        <v>0</v>
      </c>
      <c r="K114" s="365"/>
      <c r="L114" s="364"/>
    </row>
    <row r="115" spans="1:12" ht="24.75" hidden="1" customHeight="1">
      <c r="B115" s="435" t="s">
        <v>910</v>
      </c>
      <c r="C115" s="363"/>
      <c r="D115" s="374" t="s">
        <v>952</v>
      </c>
      <c r="E115" s="377">
        <f>E114*2</f>
        <v>0</v>
      </c>
      <c r="F115" s="377">
        <f t="shared" ref="F115:I115" si="6">F114*2</f>
        <v>0</v>
      </c>
      <c r="G115" s="377">
        <f t="shared" si="6"/>
        <v>0</v>
      </c>
      <c r="H115" s="377">
        <f t="shared" si="6"/>
        <v>0</v>
      </c>
      <c r="I115" s="377">
        <f t="shared" si="6"/>
        <v>0</v>
      </c>
      <c r="K115" s="365"/>
      <c r="L115" s="364"/>
    </row>
    <row r="116" spans="1:12" ht="24.75" hidden="1" customHeight="1">
      <c r="B116" s="435" t="s">
        <v>917</v>
      </c>
      <c r="C116" s="363"/>
      <c r="D116" s="374" t="s">
        <v>954</v>
      </c>
      <c r="E116" s="377">
        <f>E102</f>
        <v>0</v>
      </c>
      <c r="F116" s="377">
        <f>F102</f>
        <v>0</v>
      </c>
      <c r="G116" s="377">
        <f>G102</f>
        <v>0</v>
      </c>
      <c r="H116" s="377">
        <f>H102</f>
        <v>0</v>
      </c>
      <c r="I116" s="377">
        <f>I102</f>
        <v>0</v>
      </c>
      <c r="K116" s="365"/>
      <c r="L116" s="364"/>
    </row>
    <row r="117" spans="1:12" ht="24.75" hidden="1" customHeight="1">
      <c r="B117" s="435" t="s">
        <v>919</v>
      </c>
      <c r="C117" s="363"/>
      <c r="D117" s="374" t="s">
        <v>953</v>
      </c>
      <c r="E117" s="383" t="e">
        <f>E111</f>
        <v>#DIV/0!</v>
      </c>
      <c r="F117" s="383" t="e">
        <f t="shared" ref="F117:I117" si="7">F111</f>
        <v>#DIV/0!</v>
      </c>
      <c r="G117" s="383" t="e">
        <f t="shared" si="7"/>
        <v>#DIV/0!</v>
      </c>
      <c r="H117" s="383" t="e">
        <f t="shared" si="7"/>
        <v>#DIV/0!</v>
      </c>
      <c r="I117" s="383" t="e">
        <f t="shared" si="7"/>
        <v>#DIV/0!</v>
      </c>
      <c r="K117" s="365"/>
      <c r="L117" s="364"/>
    </row>
    <row r="118" spans="1:12" ht="24.75" hidden="1" customHeight="1">
      <c r="B118" s="435" t="s">
        <v>921</v>
      </c>
      <c r="C118" s="364"/>
    </row>
    <row r="119" spans="1:12" ht="24.75" hidden="1" customHeight="1">
      <c r="B119" s="435" t="s">
        <v>911</v>
      </c>
      <c r="C119" s="364"/>
    </row>
    <row r="120" spans="1:12" ht="24.75" hidden="1" customHeight="1">
      <c r="B120" s="435" t="s">
        <v>923</v>
      </c>
      <c r="C120" s="364"/>
    </row>
    <row r="121" spans="1:12" ht="24.75" hidden="1" customHeight="1">
      <c r="B121" s="435" t="s">
        <v>924</v>
      </c>
      <c r="C121" s="364"/>
    </row>
    <row r="122" spans="1:12" ht="24.75" hidden="1" customHeight="1">
      <c r="C122" s="367"/>
    </row>
    <row r="123" spans="1:12" ht="24.75" hidden="1" customHeight="1">
      <c r="A123" s="475"/>
      <c r="B123" s="676" t="s">
        <v>1265</v>
      </c>
      <c r="C123" s="367"/>
      <c r="D123" s="371" t="s">
        <v>1266</v>
      </c>
    </row>
    <row r="124" spans="1:12" ht="24.75" hidden="1" customHeight="1">
      <c r="B124" s="235" t="s">
        <v>1280</v>
      </c>
      <c r="D124" s="230" t="s">
        <v>938</v>
      </c>
    </row>
    <row r="125" spans="1:12" ht="24.75" hidden="1" customHeight="1">
      <c r="B125" s="235" t="s">
        <v>1281</v>
      </c>
      <c r="D125" s="230" t="s">
        <v>368</v>
      </c>
    </row>
    <row r="126" spans="1:12" ht="24.75" hidden="1" customHeight="1">
      <c r="B126" s="235" t="s">
        <v>1282</v>
      </c>
      <c r="D126" s="230" t="s">
        <v>369</v>
      </c>
    </row>
    <row r="127" spans="1:12" ht="24.75" hidden="1" customHeight="1">
      <c r="B127" s="235" t="s">
        <v>1283</v>
      </c>
      <c r="D127" s="230" t="s">
        <v>932</v>
      </c>
    </row>
    <row r="128" spans="1:12" ht="24.75" hidden="1" customHeight="1">
      <c r="B128" s="235" t="s">
        <v>1284</v>
      </c>
      <c r="D128" s="230" t="s">
        <v>933</v>
      </c>
    </row>
    <row r="129" spans="2:4" ht="24.75" hidden="1" customHeight="1">
      <c r="B129" s="235" t="s">
        <v>1285</v>
      </c>
      <c r="D129" s="230" t="s">
        <v>370</v>
      </c>
    </row>
    <row r="130" spans="2:4" ht="24.75" hidden="1" customHeight="1">
      <c r="B130" s="235" t="s">
        <v>1286</v>
      </c>
      <c r="D130" s="230" t="s">
        <v>371</v>
      </c>
    </row>
    <row r="131" spans="2:4" ht="24.75" hidden="1" customHeight="1">
      <c r="B131" s="235" t="s">
        <v>1287</v>
      </c>
      <c r="D131" s="230" t="s">
        <v>372</v>
      </c>
    </row>
    <row r="132" spans="2:4" ht="24.75" hidden="1" customHeight="1">
      <c r="B132" s="235" t="s">
        <v>1288</v>
      </c>
      <c r="D132" s="230" t="s">
        <v>373</v>
      </c>
    </row>
    <row r="133" spans="2:4" ht="24.75" hidden="1" customHeight="1">
      <c r="B133" s="235" t="s">
        <v>1289</v>
      </c>
      <c r="D133" s="230" t="s">
        <v>1330</v>
      </c>
    </row>
    <row r="134" spans="2:4" ht="24.75" hidden="1" customHeight="1">
      <c r="B134" s="235" t="s">
        <v>1290</v>
      </c>
      <c r="D134" s="230" t="s">
        <v>374</v>
      </c>
    </row>
    <row r="135" spans="2:4" ht="24.75" hidden="1" customHeight="1">
      <c r="B135" s="235" t="s">
        <v>1268</v>
      </c>
      <c r="D135" s="322" t="s">
        <v>939</v>
      </c>
    </row>
    <row r="136" spans="2:4" ht="24.75" hidden="1" customHeight="1">
      <c r="B136" s="235" t="s">
        <v>1291</v>
      </c>
      <c r="D136" s="675" t="s">
        <v>1122</v>
      </c>
    </row>
    <row r="137" spans="2:4" ht="24.75" hidden="1" customHeight="1">
      <c r="B137" s="235" t="s">
        <v>1269</v>
      </c>
    </row>
    <row r="138" spans="2:4" ht="24.75" hidden="1" customHeight="1">
      <c r="B138" s="235" t="s">
        <v>1294</v>
      </c>
    </row>
    <row r="139" spans="2:4" ht="24.75" hidden="1" customHeight="1">
      <c r="B139" s="235" t="s">
        <v>1295</v>
      </c>
    </row>
    <row r="140" spans="2:4" ht="24.75" hidden="1" customHeight="1">
      <c r="B140" s="235" t="s">
        <v>1273</v>
      </c>
    </row>
    <row r="141" spans="2:4" ht="24.75" hidden="1" customHeight="1">
      <c r="B141" s="235" t="s">
        <v>1292</v>
      </c>
    </row>
    <row r="142" spans="2:4" ht="24.75" hidden="1" customHeight="1">
      <c r="B142" s="235" t="s">
        <v>1274</v>
      </c>
    </row>
    <row r="143" spans="2:4" ht="24.75" hidden="1" customHeight="1">
      <c r="B143" s="235" t="s">
        <v>1293</v>
      </c>
    </row>
    <row r="144" spans="2:4" ht="24.75" hidden="1" customHeight="1">
      <c r="B144" s="248" t="s">
        <v>1277</v>
      </c>
    </row>
    <row r="145" spans="2:2" ht="24.75" hidden="1" customHeight="1">
      <c r="B145" s="248" t="s">
        <v>1275</v>
      </c>
    </row>
    <row r="146" spans="2:2" ht="24.75" hidden="1" customHeight="1">
      <c r="B146" s="248" t="s">
        <v>1276</v>
      </c>
    </row>
    <row r="147" spans="2:2" ht="24.75" hidden="1" customHeight="1">
      <c r="B147" s="248" t="s">
        <v>1278</v>
      </c>
    </row>
    <row r="148" spans="2:2" ht="24.75" hidden="1" customHeight="1">
      <c r="B148" s="248" t="s">
        <v>1279</v>
      </c>
    </row>
    <row r="149" spans="2:2" ht="24.75" hidden="1" customHeight="1"/>
    <row r="150" spans="2:2" ht="24.75" hidden="1" customHeight="1"/>
  </sheetData>
  <dataConsolidate/>
  <mergeCells count="27">
    <mergeCell ref="G4:I4"/>
    <mergeCell ref="C5:E5"/>
    <mergeCell ref="A39:B39"/>
    <mergeCell ref="A56:B56"/>
    <mergeCell ref="C4:E4"/>
    <mergeCell ref="G8:I8"/>
    <mergeCell ref="G9:I9"/>
    <mergeCell ref="D11:E11"/>
    <mergeCell ref="G11:I11"/>
    <mergeCell ref="D12:E12"/>
    <mergeCell ref="G12:I12"/>
    <mergeCell ref="A65:C65"/>
    <mergeCell ref="A60:B60"/>
    <mergeCell ref="A3:B3"/>
    <mergeCell ref="A13:B13"/>
    <mergeCell ref="A23:B23"/>
    <mergeCell ref="A46:B46"/>
    <mergeCell ref="A51:B51"/>
    <mergeCell ref="B11:B12"/>
    <mergeCell ref="A11:A12"/>
    <mergeCell ref="C15:I15"/>
    <mergeCell ref="C14:I14"/>
    <mergeCell ref="C6:E6"/>
    <mergeCell ref="G6:I6"/>
    <mergeCell ref="C8:E8"/>
    <mergeCell ref="C9:E9"/>
    <mergeCell ref="C10:E10"/>
  </mergeCells>
  <phoneticPr fontId="10"/>
  <conditionalFormatting sqref="F44">
    <cfRule type="expression" dxfId="41" priority="60">
      <formula>$F$40="輪転印刷機"</formula>
    </cfRule>
  </conditionalFormatting>
  <conditionalFormatting sqref="E58:I58">
    <cfRule type="expression" dxfId="40" priority="53">
      <formula>#REF!="封筒なし"</formula>
    </cfRule>
  </conditionalFormatting>
  <conditionalFormatting sqref="D58:D59">
    <cfRule type="expression" dxfId="39" priority="52">
      <formula>$D$57="なし"</formula>
    </cfRule>
  </conditionalFormatting>
  <conditionalFormatting sqref="D62:D64">
    <cfRule type="expression" dxfId="38" priority="51">
      <formula>$D$61="なし"</formula>
    </cfRule>
  </conditionalFormatting>
  <conditionalFormatting sqref="I43">
    <cfRule type="expression" dxfId="37" priority="48">
      <formula>$I$40="POD"</formula>
    </cfRule>
  </conditionalFormatting>
  <conditionalFormatting sqref="H43">
    <cfRule type="expression" dxfId="36" priority="47">
      <formula>$H$40="POD"</formula>
    </cfRule>
  </conditionalFormatting>
  <conditionalFormatting sqref="G43">
    <cfRule type="expression" dxfId="35" priority="46">
      <formula>$G$40="POD"</formula>
    </cfRule>
  </conditionalFormatting>
  <conditionalFormatting sqref="F43">
    <cfRule type="expression" dxfId="34" priority="45">
      <formula>$F$40="POD"</formula>
    </cfRule>
  </conditionalFormatting>
  <conditionalFormatting sqref="E43">
    <cfRule type="expression" dxfId="33" priority="44">
      <formula>$E$40="POD"</formula>
    </cfRule>
  </conditionalFormatting>
  <conditionalFormatting sqref="B43">
    <cfRule type="expression" dxfId="32" priority="42">
      <formula>COUNTIF($E$40:$I$40,"POD")</formula>
    </cfRule>
  </conditionalFormatting>
  <conditionalFormatting sqref="B44">
    <cfRule type="expression" dxfId="31" priority="41">
      <formula>COUNTIF($E$40:$I$40,"輪転印刷機")</formula>
    </cfRule>
  </conditionalFormatting>
  <conditionalFormatting sqref="E55">
    <cfRule type="expression" dxfId="30" priority="40">
      <formula>$D$55="実測"</formula>
    </cfRule>
  </conditionalFormatting>
  <conditionalFormatting sqref="E47:E50 F50:I50">
    <cfRule type="expression" dxfId="29" priority="61">
      <formula>$E$40="POD"</formula>
    </cfRule>
  </conditionalFormatting>
  <conditionalFormatting sqref="F47:F49">
    <cfRule type="expression" dxfId="28" priority="62">
      <formula>$F$40="POD"</formula>
    </cfRule>
  </conditionalFormatting>
  <conditionalFormatting sqref="G47:G49">
    <cfRule type="expression" dxfId="27" priority="63">
      <formula>$G$40="POD"</formula>
    </cfRule>
  </conditionalFormatting>
  <conditionalFormatting sqref="H47:H49">
    <cfRule type="expression" dxfId="26" priority="64">
      <formula>$H$40="POD"</formula>
    </cfRule>
  </conditionalFormatting>
  <conditionalFormatting sqref="I47:I49">
    <cfRule type="expression" dxfId="25" priority="65">
      <formula>$I$40="POD"</formula>
    </cfRule>
  </conditionalFormatting>
  <conditionalFormatting sqref="E54">
    <cfRule type="expression" dxfId="24" priority="31">
      <formula>$D$54="実測"</formula>
    </cfRule>
  </conditionalFormatting>
  <conditionalFormatting sqref="E52:I52">
    <cfRule type="expression" dxfId="23" priority="30">
      <formula>$D$52="実測"</formula>
    </cfRule>
  </conditionalFormatting>
  <conditionalFormatting sqref="E26:E27">
    <cfRule type="expression" dxfId="22" priority="27">
      <formula>$E$25="輪転・非定型"</formula>
    </cfRule>
  </conditionalFormatting>
  <conditionalFormatting sqref="F26:F27">
    <cfRule type="expression" dxfId="21" priority="26">
      <formula>$F$25="輪転・非定型"</formula>
    </cfRule>
  </conditionalFormatting>
  <conditionalFormatting sqref="G26:G27">
    <cfRule type="expression" dxfId="20" priority="25">
      <formula>$G$25="輪転・非定型"</formula>
    </cfRule>
  </conditionalFormatting>
  <conditionalFormatting sqref="H26:H27">
    <cfRule type="expression" dxfId="19" priority="24">
      <formula>$H$25="輪転・非定型"</formula>
    </cfRule>
  </conditionalFormatting>
  <conditionalFormatting sqref="I26:I27">
    <cfRule type="expression" dxfId="18" priority="23">
      <formula>$I$25="輪転・非定型"</formula>
    </cfRule>
  </conditionalFormatting>
  <conditionalFormatting sqref="A26:C27">
    <cfRule type="expression" dxfId="17" priority="22">
      <formula>COUNTIF($E$25:$I$25,"輪転・非定型")</formula>
    </cfRule>
  </conditionalFormatting>
  <conditionalFormatting sqref="J26:J27">
    <cfRule type="expression" dxfId="16" priority="21">
      <formula>COUNTIF($E$25:$I$25,"輪転・非定型")</formula>
    </cfRule>
  </conditionalFormatting>
  <conditionalFormatting sqref="K26:K27">
    <cfRule type="expression" dxfId="15" priority="20">
      <formula>COUNTIF($E$25:$I$25,"輪転・非定型")</formula>
    </cfRule>
  </conditionalFormatting>
  <conditionalFormatting sqref="E28">
    <cfRule type="expression" dxfId="14" priority="19">
      <formula>$E$29&lt;$E$28</formula>
    </cfRule>
  </conditionalFormatting>
  <conditionalFormatting sqref="F28">
    <cfRule type="expression" dxfId="13" priority="18">
      <formula>$F$29&lt;$F$28</formula>
    </cfRule>
  </conditionalFormatting>
  <conditionalFormatting sqref="G28">
    <cfRule type="expression" dxfId="12" priority="17">
      <formula>$G$29&lt;$G$28</formula>
    </cfRule>
  </conditionalFormatting>
  <conditionalFormatting sqref="H28">
    <cfRule type="expression" dxfId="11" priority="16">
      <formula>$H$29&lt;$H$28</formula>
    </cfRule>
  </conditionalFormatting>
  <conditionalFormatting sqref="I28">
    <cfRule type="expression" dxfId="10" priority="15">
      <formula>$I$29&lt;$I$28</formula>
    </cfRule>
  </conditionalFormatting>
  <conditionalFormatting sqref="E41">
    <cfRule type="expression" dxfId="9" priority="14">
      <formula>$E$40="輪転印刷機"</formula>
    </cfRule>
  </conditionalFormatting>
  <conditionalFormatting sqref="F41">
    <cfRule type="expression" dxfId="8" priority="13">
      <formula>$F$40="輪転印刷機"</formula>
    </cfRule>
  </conditionalFormatting>
  <conditionalFormatting sqref="G41">
    <cfRule type="expression" dxfId="7" priority="11">
      <formula>$G$40="輪転印刷機"</formula>
    </cfRule>
  </conditionalFormatting>
  <conditionalFormatting sqref="H41">
    <cfRule type="expression" dxfId="6" priority="10">
      <formula>$H$40="輪転印刷機"</formula>
    </cfRule>
  </conditionalFormatting>
  <conditionalFormatting sqref="I41">
    <cfRule type="expression" dxfId="5" priority="9">
      <formula>$I$40="輪転印刷機"</formula>
    </cfRule>
  </conditionalFormatting>
  <conditionalFormatting sqref="E44">
    <cfRule type="expression" dxfId="4" priority="7">
      <formula>$E$40="輪転印刷機"</formula>
    </cfRule>
  </conditionalFormatting>
  <conditionalFormatting sqref="G44">
    <cfRule type="expression" dxfId="3" priority="6">
      <formula>$G$40="輪転印刷機"</formula>
    </cfRule>
  </conditionalFormatting>
  <conditionalFormatting sqref="H44">
    <cfRule type="expression" dxfId="2" priority="5">
      <formula>$H$40="輪転印刷機"</formula>
    </cfRule>
  </conditionalFormatting>
  <conditionalFormatting sqref="I44">
    <cfRule type="expression" dxfId="1" priority="3">
      <formula>$I$40="輪転印刷機"</formula>
    </cfRule>
  </conditionalFormatting>
  <conditionalFormatting sqref="D17:E17">
    <cfRule type="expression" dxfId="0" priority="1">
      <formula>$D$16&lt;&gt;"非定型"</formula>
    </cfRule>
  </conditionalFormatting>
  <dataValidations count="13">
    <dataValidation type="list" allowBlank="1" showInputMessage="1" showErrorMessage="1" sqref="D21" xr:uid="{00000000-0002-0000-0200-000000000000}">
      <formula1>"折りあり,折りなし"</formula1>
    </dataValidation>
    <dataValidation type="list" allowBlank="1" showInputMessage="1" showErrorMessage="1" sqref="D22" xr:uid="{00000000-0002-0000-0200-000001000000}">
      <formula1>"なし,中綴じ,無線綴じ"</formula1>
    </dataValidation>
    <dataValidation type="list" allowBlank="1" showInputMessage="1" showErrorMessage="1" sqref="D53" xr:uid="{00000000-0002-0000-0200-000002000000}">
      <formula1>"なし,市内,県内,不明"</formula1>
    </dataValidation>
    <dataValidation type="list" allowBlank="1" showInputMessage="1" showErrorMessage="1" sqref="J61:J64 J24:J38 J14:J22 J52:J55 J47:J50 J40:J45 J57:J59" xr:uid="{00000000-0002-0000-0200-000003000000}">
      <formula1>$B$114:$B$121</formula1>
    </dataValidation>
    <dataValidation type="list" allowBlank="1" showInputMessage="1" showErrorMessage="1" sqref="D52" xr:uid="{00000000-0002-0000-0200-000004000000}">
      <formula1>"実測,不明"</formula1>
    </dataValidation>
    <dataValidation type="list" allowBlank="1" showInputMessage="1" showErrorMessage="1" sqref="E44:I44" xr:uid="{00000000-0002-0000-0200-000005000000}">
      <formula1>"―,B縦四裁機（ゴム胴単胴機）,B縦半裁機（ゴム胴単胴機）,B縦半裁機（ゴム胴倍胴機）,B縦全判機（ゴム胴単胴機）,A横全判機（ゴム胴単胴機）,A横全判機（ゴム胴倍胴機）,A横倍判機（ゴム胴単胴機）"</formula1>
    </dataValidation>
    <dataValidation type="list" allowBlank="1" showInputMessage="1" showErrorMessage="1" sqref="D54:D55" xr:uid="{00000000-0002-0000-0200-000006000000}">
      <formula1>"実測,全国,県間,県内,市内,不明"</formula1>
    </dataValidation>
    <dataValidation type="list" allowBlank="1" showInputMessage="1" showErrorMessage="1" sqref="D16" xr:uid="{00000000-0002-0000-0200-000007000000}">
      <formula1>"B2,B3,B4,B5,B6,A2,A3,A4,A5,A6,非定型"</formula1>
    </dataValidation>
    <dataValidation type="list" allowBlank="1" showInputMessage="1" showErrorMessage="1" sqref="D61 D57" xr:uid="{00000000-0002-0000-0200-000008000000}">
      <formula1>"なし,長3以下,長3超角2以下,角2,角1,プラスチック製封筒"</formula1>
    </dataValidation>
    <dataValidation type="list" allowBlank="1" showInputMessage="1" showErrorMessage="1" sqref="E24:I24" xr:uid="{00000000-0002-0000-0200-000009000000}">
      <formula1>"非塗工印刷用紙,情報用紙"</formula1>
    </dataValidation>
    <dataValidation type="list" allowBlank="1" showInputMessage="1" showErrorMessage="1" sqref="E25:I25" xr:uid="{00000000-0002-0000-0200-00000A000000}">
      <formula1>$D$124:$D$136</formula1>
    </dataValidation>
    <dataValidation type="list" allowBlank="1" showInputMessage="1" showErrorMessage="1" sqref="E40:I40" xr:uid="{00000000-0002-0000-0200-00000B000000}">
      <formula1>"枚葉オフセット・両面機,枚葉オフセット・片面機,輪転印刷機"</formula1>
    </dataValidation>
    <dataValidation type="list" allowBlank="1" showInputMessage="1" showErrorMessage="1" sqref="E50:I50" xr:uid="{00000000-0002-0000-0200-00000C000000}">
      <formula1>$B$124:$B$148</formula1>
    </dataValidation>
  </dataValidations>
  <pageMargins left="0.7" right="0.7" top="0.75" bottom="0.75" header="0.3" footer="0.3"/>
  <pageSetup paperSize="8"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D000000}">
          <x14:formula1>
            <xm:f>原単位一覧!$C$98:$C$103</xm:f>
          </x14:formula1>
          <xm:sqref>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3:N185"/>
  <sheetViews>
    <sheetView workbookViewId="0">
      <selection activeCell="G21" sqref="G21"/>
    </sheetView>
  </sheetViews>
  <sheetFormatPr defaultRowHeight="13.5"/>
  <cols>
    <col min="1" max="1" width="17.25" style="11" bestFit="1" customWidth="1"/>
    <col min="2" max="2" width="19.625" style="22" customWidth="1"/>
    <col min="3" max="3" width="16.5" style="22" customWidth="1"/>
    <col min="4" max="4" width="31.25" style="22" bestFit="1" customWidth="1"/>
    <col min="5" max="5" width="25.375" style="22" bestFit="1" customWidth="1"/>
    <col min="6" max="7" width="13.125" style="22" bestFit="1" customWidth="1"/>
    <col min="8" max="8" width="17.625" style="22" bestFit="1" customWidth="1"/>
    <col min="9" max="9" width="22.875" style="22" bestFit="1" customWidth="1"/>
    <col min="10" max="10" width="16.5" style="11" bestFit="1" customWidth="1"/>
    <col min="11" max="17" width="9" style="11"/>
    <col min="18" max="19" width="5.25" style="11" bestFit="1" customWidth="1"/>
    <col min="20" max="20" width="3.5" style="11" bestFit="1" customWidth="1"/>
    <col min="21" max="21" width="4.375" style="11" bestFit="1" customWidth="1"/>
    <col min="22" max="16384" width="9" style="11"/>
  </cols>
  <sheetData>
    <row r="3" spans="1:9">
      <c r="A3" s="247"/>
      <c r="B3" s="218" t="s">
        <v>22</v>
      </c>
      <c r="C3" s="219" t="s">
        <v>8</v>
      </c>
      <c r="D3" s="219" t="s">
        <v>15</v>
      </c>
      <c r="E3" s="218" t="s">
        <v>19</v>
      </c>
      <c r="F3" s="218" t="s">
        <v>139</v>
      </c>
      <c r="H3" s="11"/>
      <c r="I3" s="11"/>
    </row>
    <row r="4" spans="1:9">
      <c r="A4" s="740" t="s">
        <v>400</v>
      </c>
      <c r="B4" s="235" t="s">
        <v>491</v>
      </c>
      <c r="C4" s="411">
        <v>1.77</v>
      </c>
      <c r="D4" s="230" t="s">
        <v>401</v>
      </c>
      <c r="E4" s="230" t="s">
        <v>69</v>
      </c>
      <c r="F4" s="230" t="s">
        <v>485</v>
      </c>
      <c r="H4" s="11"/>
      <c r="I4" s="404"/>
    </row>
    <row r="5" spans="1:9">
      <c r="A5" s="740"/>
      <c r="B5" s="235" t="s">
        <v>492</v>
      </c>
      <c r="C5" s="411">
        <v>1.93</v>
      </c>
      <c r="D5" s="230" t="s">
        <v>401</v>
      </c>
      <c r="E5" s="230" t="s">
        <v>69</v>
      </c>
      <c r="F5" s="230" t="s">
        <v>486</v>
      </c>
      <c r="H5" s="11"/>
      <c r="I5" s="404"/>
    </row>
    <row r="6" spans="1:9">
      <c r="A6" s="398"/>
      <c r="B6" s="410"/>
      <c r="C6" s="238"/>
      <c r="D6" s="238"/>
      <c r="E6" s="238"/>
      <c r="F6" s="238"/>
      <c r="H6" s="11"/>
      <c r="I6" s="11"/>
    </row>
    <row r="8" spans="1:9">
      <c r="A8" s="247" t="s">
        <v>19</v>
      </c>
      <c r="B8" s="218" t="s">
        <v>22</v>
      </c>
      <c r="C8" s="219" t="s">
        <v>8</v>
      </c>
      <c r="D8" s="219" t="s">
        <v>15</v>
      </c>
      <c r="E8" s="218" t="s">
        <v>19</v>
      </c>
      <c r="F8" s="218" t="s">
        <v>139</v>
      </c>
      <c r="H8" s="11"/>
      <c r="I8" s="11"/>
    </row>
    <row r="9" spans="1:9">
      <c r="A9" s="734" t="s">
        <v>487</v>
      </c>
      <c r="B9" s="248" t="s">
        <v>1277</v>
      </c>
      <c r="C9" s="237">
        <v>13.2</v>
      </c>
      <c r="D9" s="230" t="s">
        <v>489</v>
      </c>
      <c r="E9" s="230" t="s">
        <v>94</v>
      </c>
      <c r="F9" s="236" t="s">
        <v>490</v>
      </c>
      <c r="H9" s="11"/>
      <c r="I9" s="11"/>
    </row>
    <row r="10" spans="1:9">
      <c r="A10" s="735"/>
      <c r="B10" s="248" t="s">
        <v>1275</v>
      </c>
      <c r="C10" s="228">
        <v>7</v>
      </c>
      <c r="D10" s="230" t="s">
        <v>489</v>
      </c>
      <c r="E10" s="230" t="s">
        <v>57</v>
      </c>
      <c r="F10" s="230" t="s">
        <v>493</v>
      </c>
      <c r="H10" s="11"/>
      <c r="I10" s="11"/>
    </row>
    <row r="11" spans="1:9">
      <c r="A11" s="735"/>
      <c r="B11" s="248" t="s">
        <v>1276</v>
      </c>
      <c r="C11" s="228">
        <v>9.3000000000000007</v>
      </c>
      <c r="D11" s="230" t="s">
        <v>489</v>
      </c>
      <c r="E11" s="230" t="s">
        <v>57</v>
      </c>
      <c r="F11" s="230" t="s">
        <v>493</v>
      </c>
      <c r="H11" s="11"/>
      <c r="I11" s="11"/>
    </row>
    <row r="12" spans="1:9">
      <c r="A12" s="735"/>
      <c r="B12" s="248" t="s">
        <v>1278</v>
      </c>
      <c r="C12" s="228">
        <v>11</v>
      </c>
      <c r="D12" s="230" t="s">
        <v>489</v>
      </c>
      <c r="E12" s="230" t="s">
        <v>57</v>
      </c>
      <c r="F12" s="230" t="s">
        <v>493</v>
      </c>
      <c r="H12" s="11"/>
      <c r="I12" s="11"/>
    </row>
    <row r="13" spans="1:9">
      <c r="A13" s="735"/>
      <c r="B13" s="248" t="s">
        <v>1279</v>
      </c>
      <c r="C13" s="228">
        <v>14</v>
      </c>
      <c r="D13" s="230" t="s">
        <v>489</v>
      </c>
      <c r="E13" s="230" t="s">
        <v>57</v>
      </c>
      <c r="F13" s="230" t="s">
        <v>493</v>
      </c>
      <c r="H13" s="11"/>
      <c r="I13" s="11"/>
    </row>
    <row r="14" spans="1:9" ht="40.5">
      <c r="A14" s="735"/>
      <c r="B14" s="235" t="s">
        <v>1280</v>
      </c>
      <c r="C14" s="228">
        <v>6.46</v>
      </c>
      <c r="D14" s="230" t="s">
        <v>488</v>
      </c>
      <c r="E14" s="230" t="s">
        <v>57</v>
      </c>
      <c r="F14" s="230" t="s">
        <v>494</v>
      </c>
      <c r="H14" s="11"/>
      <c r="I14" s="11"/>
    </row>
    <row r="15" spans="1:9" ht="40.5">
      <c r="A15" s="735"/>
      <c r="B15" s="235" t="s">
        <v>1281</v>
      </c>
      <c r="C15" s="228">
        <v>7.82</v>
      </c>
      <c r="D15" s="230" t="s">
        <v>488</v>
      </c>
      <c r="E15" s="230" t="s">
        <v>57</v>
      </c>
      <c r="F15" s="230" t="s">
        <v>494</v>
      </c>
      <c r="H15" s="11"/>
      <c r="I15" s="11"/>
    </row>
    <row r="16" spans="1:9" ht="40.5">
      <c r="A16" s="735"/>
      <c r="B16" s="235" t="s">
        <v>1282</v>
      </c>
      <c r="C16" s="229">
        <v>8.9</v>
      </c>
      <c r="D16" s="230" t="s">
        <v>488</v>
      </c>
      <c r="E16" s="230" t="s">
        <v>57</v>
      </c>
      <c r="F16" s="230" t="s">
        <v>494</v>
      </c>
      <c r="H16" s="11"/>
      <c r="I16" s="11"/>
    </row>
    <row r="17" spans="1:9" ht="40.5">
      <c r="A17" s="735"/>
      <c r="B17" s="235" t="s">
        <v>1283</v>
      </c>
      <c r="C17" s="229">
        <v>10.5</v>
      </c>
      <c r="D17" s="230" t="s">
        <v>488</v>
      </c>
      <c r="E17" s="230" t="s">
        <v>57</v>
      </c>
      <c r="F17" s="230" t="s">
        <v>494</v>
      </c>
      <c r="H17" s="11"/>
      <c r="I17" s="11"/>
    </row>
    <row r="18" spans="1:9" ht="40.5">
      <c r="A18" s="735"/>
      <c r="B18" s="235" t="s">
        <v>1284</v>
      </c>
      <c r="C18" s="229">
        <v>13.3</v>
      </c>
      <c r="D18" s="230" t="s">
        <v>488</v>
      </c>
      <c r="E18" s="230" t="s">
        <v>57</v>
      </c>
      <c r="F18" s="230" t="s">
        <v>494</v>
      </c>
      <c r="H18" s="11"/>
      <c r="I18" s="11"/>
    </row>
    <row r="19" spans="1:9" ht="40.5">
      <c r="A19" s="735"/>
      <c r="B19" s="235" t="s">
        <v>1285</v>
      </c>
      <c r="C19" s="229">
        <v>6.28</v>
      </c>
      <c r="D19" s="230" t="s">
        <v>488</v>
      </c>
      <c r="E19" s="230" t="s">
        <v>57</v>
      </c>
      <c r="F19" s="230" t="s">
        <v>1270</v>
      </c>
      <c r="H19" s="11"/>
      <c r="I19" s="11"/>
    </row>
    <row r="20" spans="1:9" ht="40.5">
      <c r="A20" s="735"/>
      <c r="B20" s="235" t="s">
        <v>1286</v>
      </c>
      <c r="C20" s="229">
        <v>7.64</v>
      </c>
      <c r="D20" s="230" t="s">
        <v>488</v>
      </c>
      <c r="E20" s="230" t="s">
        <v>57</v>
      </c>
      <c r="F20" s="230" t="s">
        <v>1270</v>
      </c>
      <c r="H20" s="11"/>
      <c r="I20" s="11"/>
    </row>
    <row r="21" spans="1:9" ht="40.5">
      <c r="A21" s="735"/>
      <c r="B21" s="235" t="s">
        <v>1287</v>
      </c>
      <c r="C21" s="229">
        <v>8.73</v>
      </c>
      <c r="D21" s="230" t="s">
        <v>488</v>
      </c>
      <c r="E21" s="230" t="s">
        <v>57</v>
      </c>
      <c r="F21" s="230" t="s">
        <v>1270</v>
      </c>
      <c r="H21" s="11"/>
      <c r="I21" s="11"/>
    </row>
    <row r="22" spans="1:9" ht="40.5">
      <c r="A22" s="735"/>
      <c r="B22" s="235" t="s">
        <v>1288</v>
      </c>
      <c r="C22" s="229">
        <v>10.4</v>
      </c>
      <c r="D22" s="230" t="s">
        <v>488</v>
      </c>
      <c r="E22" s="230" t="s">
        <v>57</v>
      </c>
      <c r="F22" s="230" t="s">
        <v>1270</v>
      </c>
      <c r="H22" s="11"/>
      <c r="I22" s="11"/>
    </row>
    <row r="23" spans="1:9" ht="40.5">
      <c r="A23" s="735"/>
      <c r="B23" s="235" t="s">
        <v>1289</v>
      </c>
      <c r="C23" s="229">
        <v>13.1</v>
      </c>
      <c r="D23" s="230" t="s">
        <v>488</v>
      </c>
      <c r="E23" s="230" t="s">
        <v>57</v>
      </c>
      <c r="F23" s="230" t="s">
        <v>1270</v>
      </c>
      <c r="H23" s="11"/>
      <c r="I23" s="11"/>
    </row>
    <row r="24" spans="1:9" ht="40.5">
      <c r="A24" s="735"/>
      <c r="B24" s="235" t="s">
        <v>1290</v>
      </c>
      <c r="C24" s="229">
        <v>3.54</v>
      </c>
      <c r="D24" s="230" t="s">
        <v>488</v>
      </c>
      <c r="E24" s="230" t="s">
        <v>57</v>
      </c>
      <c r="F24" s="230" t="s">
        <v>495</v>
      </c>
      <c r="H24" s="11"/>
      <c r="I24" s="11"/>
    </row>
    <row r="25" spans="1:9" ht="40.5">
      <c r="A25" s="735"/>
      <c r="B25" s="235" t="s">
        <v>1268</v>
      </c>
      <c r="C25" s="229">
        <v>3.93</v>
      </c>
      <c r="D25" s="230" t="s">
        <v>488</v>
      </c>
      <c r="E25" s="230" t="s">
        <v>57</v>
      </c>
      <c r="F25" s="230" t="s">
        <v>495</v>
      </c>
      <c r="H25" s="11"/>
      <c r="I25" s="11"/>
    </row>
    <row r="26" spans="1:9" ht="40.5">
      <c r="A26" s="735"/>
      <c r="B26" s="235" t="s">
        <v>1291</v>
      </c>
      <c r="C26" s="229">
        <v>4.2300000000000004</v>
      </c>
      <c r="D26" s="230" t="s">
        <v>488</v>
      </c>
      <c r="E26" s="230" t="s">
        <v>57</v>
      </c>
      <c r="F26" s="230" t="s">
        <v>495</v>
      </c>
      <c r="H26" s="11"/>
      <c r="I26" s="11"/>
    </row>
    <row r="27" spans="1:9" ht="40.5">
      <c r="A27" s="735"/>
      <c r="B27" s="235" t="s">
        <v>1269</v>
      </c>
      <c r="C27" s="229">
        <v>4.7</v>
      </c>
      <c r="D27" s="230" t="s">
        <v>488</v>
      </c>
      <c r="E27" s="230" t="s">
        <v>57</v>
      </c>
      <c r="F27" s="230" t="s">
        <v>495</v>
      </c>
      <c r="H27" s="11"/>
      <c r="I27" s="11"/>
    </row>
    <row r="28" spans="1:9" ht="40.5">
      <c r="A28" s="735"/>
      <c r="B28" s="235" t="s">
        <v>1294</v>
      </c>
      <c r="C28" s="229">
        <v>5.47</v>
      </c>
      <c r="D28" s="230" t="s">
        <v>488</v>
      </c>
      <c r="E28" s="230" t="s">
        <v>57</v>
      </c>
      <c r="F28" s="230" t="s">
        <v>495</v>
      </c>
      <c r="H28" s="11"/>
      <c r="I28" s="11"/>
    </row>
    <row r="29" spans="1:9" ht="40.5">
      <c r="A29" s="735"/>
      <c r="B29" s="235" t="s">
        <v>1295</v>
      </c>
      <c r="C29" s="229">
        <v>3.36</v>
      </c>
      <c r="D29" s="230" t="s">
        <v>488</v>
      </c>
      <c r="E29" s="230" t="s">
        <v>57</v>
      </c>
      <c r="F29" s="230" t="s">
        <v>1272</v>
      </c>
      <c r="H29" s="11"/>
      <c r="I29" s="11"/>
    </row>
    <row r="30" spans="1:9" ht="40.5">
      <c r="A30" s="735"/>
      <c r="B30" s="235" t="s">
        <v>1273</v>
      </c>
      <c r="C30" s="229">
        <v>3.74</v>
      </c>
      <c r="D30" s="230" t="s">
        <v>488</v>
      </c>
      <c r="E30" s="230" t="s">
        <v>57</v>
      </c>
      <c r="F30" s="230" t="s">
        <v>1272</v>
      </c>
      <c r="H30" s="11"/>
      <c r="I30" s="11"/>
    </row>
    <row r="31" spans="1:9" ht="40.5">
      <c r="A31" s="735"/>
      <c r="B31" s="235" t="s">
        <v>1292</v>
      </c>
      <c r="C31" s="229">
        <v>4.05</v>
      </c>
      <c r="D31" s="230" t="s">
        <v>488</v>
      </c>
      <c r="E31" s="230" t="s">
        <v>57</v>
      </c>
      <c r="F31" s="230" t="s">
        <v>1271</v>
      </c>
      <c r="H31" s="11"/>
      <c r="I31" s="11"/>
    </row>
    <row r="32" spans="1:9" ht="40.5">
      <c r="A32" s="735"/>
      <c r="B32" s="235" t="s">
        <v>1274</v>
      </c>
      <c r="C32" s="229">
        <v>4.51</v>
      </c>
      <c r="D32" s="230" t="s">
        <v>488</v>
      </c>
      <c r="E32" s="230" t="s">
        <v>57</v>
      </c>
      <c r="F32" s="230" t="s">
        <v>1271</v>
      </c>
      <c r="H32" s="11"/>
      <c r="I32" s="11"/>
    </row>
    <row r="33" spans="1:14" ht="40.5">
      <c r="A33" s="736"/>
      <c r="B33" s="235" t="s">
        <v>1293</v>
      </c>
      <c r="C33" s="229">
        <v>5.28</v>
      </c>
      <c r="D33" s="230" t="s">
        <v>488</v>
      </c>
      <c r="E33" s="230" t="s">
        <v>57</v>
      </c>
      <c r="F33" s="230" t="s">
        <v>1271</v>
      </c>
      <c r="H33" s="11"/>
      <c r="I33" s="11"/>
    </row>
    <row r="35" spans="1:14">
      <c r="A35" s="758" t="s">
        <v>1225</v>
      </c>
      <c r="B35" s="758"/>
      <c r="I35" s="11"/>
    </row>
    <row r="36" spans="1:14">
      <c r="A36" s="22"/>
      <c r="I36" s="11"/>
    </row>
    <row r="37" spans="1:14">
      <c r="A37" s="285" t="s">
        <v>332</v>
      </c>
      <c r="B37" s="285" t="s">
        <v>360</v>
      </c>
      <c r="C37" s="285" t="s">
        <v>361</v>
      </c>
      <c r="D37" s="756" t="s">
        <v>18</v>
      </c>
      <c r="E37" s="757"/>
      <c r="F37" s="757"/>
      <c r="G37" s="757"/>
      <c r="H37" s="757"/>
      <c r="I37" s="757"/>
      <c r="J37" s="286"/>
      <c r="K37" s="287"/>
    </row>
    <row r="38" spans="1:14">
      <c r="A38" s="734" t="s">
        <v>251</v>
      </c>
      <c r="B38" s="231" t="s">
        <v>333</v>
      </c>
      <c r="C38" s="231" t="s">
        <v>334</v>
      </c>
      <c r="D38" s="230" t="s">
        <v>335</v>
      </c>
      <c r="E38" s="230"/>
      <c r="F38" s="230"/>
      <c r="G38" s="228">
        <v>0.40500000000000003</v>
      </c>
      <c r="H38" s="230" t="s">
        <v>362</v>
      </c>
      <c r="I38" s="242"/>
      <c r="J38" s="242"/>
      <c r="K38" s="242"/>
      <c r="L38" s="232" t="s">
        <v>503</v>
      </c>
      <c r="M38" s="232"/>
    </row>
    <row r="39" spans="1:14">
      <c r="A39" s="735"/>
      <c r="B39" s="737" t="s">
        <v>242</v>
      </c>
      <c r="C39" s="737" t="s">
        <v>347</v>
      </c>
      <c r="D39" s="737" t="s">
        <v>336</v>
      </c>
      <c r="E39" s="734" t="s">
        <v>367</v>
      </c>
      <c r="F39" s="230" t="s">
        <v>938</v>
      </c>
      <c r="G39" s="228">
        <f>L39*G51</f>
        <v>3.9820000000000003E-3</v>
      </c>
      <c r="H39" s="230" t="s">
        <v>365</v>
      </c>
      <c r="I39" s="242" t="s">
        <v>366</v>
      </c>
      <c r="J39" s="242" t="s">
        <v>195</v>
      </c>
      <c r="K39" s="242" t="s">
        <v>57</v>
      </c>
      <c r="L39" s="232">
        <f>L40*2</f>
        <v>1.1000000000000001</v>
      </c>
      <c r="M39" s="232" t="s">
        <v>391</v>
      </c>
    </row>
    <row r="40" spans="1:14">
      <c r="A40" s="735"/>
      <c r="B40" s="738"/>
      <c r="C40" s="738"/>
      <c r="D40" s="738"/>
      <c r="E40" s="735"/>
      <c r="F40" s="230" t="s">
        <v>368</v>
      </c>
      <c r="G40" s="228">
        <v>1.99E-3</v>
      </c>
      <c r="H40" s="230" t="s">
        <v>365</v>
      </c>
      <c r="I40" s="242" t="s">
        <v>366</v>
      </c>
      <c r="J40" s="242" t="s">
        <v>195</v>
      </c>
      <c r="K40" s="242" t="s">
        <v>57</v>
      </c>
      <c r="L40" s="232">
        <v>0.55000000000000004</v>
      </c>
      <c r="M40" s="232" t="s">
        <v>937</v>
      </c>
      <c r="N40" s="70"/>
    </row>
    <row r="41" spans="1:14">
      <c r="A41" s="735"/>
      <c r="B41" s="738"/>
      <c r="C41" s="738"/>
      <c r="D41" s="738"/>
      <c r="E41" s="735"/>
      <c r="F41" s="230" t="s">
        <v>369</v>
      </c>
      <c r="G41" s="228">
        <v>9.9700000000000006E-4</v>
      </c>
      <c r="H41" s="230" t="s">
        <v>365</v>
      </c>
      <c r="I41" s="242" t="s">
        <v>366</v>
      </c>
      <c r="J41" s="242" t="s">
        <v>195</v>
      </c>
      <c r="K41" s="242" t="s">
        <v>57</v>
      </c>
      <c r="L41" s="232">
        <f>625*440/1000000</f>
        <v>0.27500000000000002</v>
      </c>
      <c r="M41" s="232" t="s">
        <v>391</v>
      </c>
    </row>
    <row r="42" spans="1:14">
      <c r="A42" s="735"/>
      <c r="B42" s="738"/>
      <c r="C42" s="738"/>
      <c r="D42" s="738"/>
      <c r="E42" s="735"/>
      <c r="F42" s="230" t="s">
        <v>932</v>
      </c>
      <c r="G42" s="228">
        <f>L42*G51</f>
        <v>3.0046905000000001E-3</v>
      </c>
      <c r="H42" s="230" t="s">
        <v>365</v>
      </c>
      <c r="I42" s="242" t="s">
        <v>366</v>
      </c>
      <c r="J42" s="242" t="s">
        <v>195</v>
      </c>
      <c r="K42" s="242" t="s">
        <v>57</v>
      </c>
      <c r="L42" s="232">
        <f>0.765*1.085</f>
        <v>0.83002500000000001</v>
      </c>
      <c r="M42" s="232" t="s">
        <v>937</v>
      </c>
    </row>
    <row r="43" spans="1:14">
      <c r="A43" s="735"/>
      <c r="B43" s="738"/>
      <c r="C43" s="738"/>
      <c r="D43" s="738"/>
      <c r="E43" s="735"/>
      <c r="F43" s="230" t="s">
        <v>933</v>
      </c>
      <c r="G43" s="228">
        <f>L43*G51</f>
        <v>1.5023452500000001E-3</v>
      </c>
      <c r="H43" s="230" t="s">
        <v>365</v>
      </c>
      <c r="I43" s="242" t="s">
        <v>366</v>
      </c>
      <c r="J43" s="242" t="s">
        <v>195</v>
      </c>
      <c r="K43" s="242" t="s">
        <v>57</v>
      </c>
      <c r="L43" s="232">
        <f>L42/2</f>
        <v>0.41501250000000001</v>
      </c>
      <c r="M43" s="232" t="s">
        <v>391</v>
      </c>
    </row>
    <row r="44" spans="1:14">
      <c r="A44" s="735"/>
      <c r="B44" s="738"/>
      <c r="C44" s="738"/>
      <c r="D44" s="738"/>
      <c r="E44" s="735"/>
      <c r="F44" s="230" t="s">
        <v>370</v>
      </c>
      <c r="G44" s="228">
        <v>2.16E-3</v>
      </c>
      <c r="H44" s="230" t="s">
        <v>365</v>
      </c>
      <c r="I44" s="242" t="s">
        <v>366</v>
      </c>
      <c r="J44" s="242" t="s">
        <v>195</v>
      </c>
      <c r="K44" s="242" t="s">
        <v>57</v>
      </c>
      <c r="L44" s="232">
        <f>939*636/1000000</f>
        <v>0.59720399999999996</v>
      </c>
      <c r="M44" s="232" t="s">
        <v>391</v>
      </c>
    </row>
    <row r="45" spans="1:14">
      <c r="A45" s="735"/>
      <c r="B45" s="738"/>
      <c r="C45" s="738"/>
      <c r="D45" s="738"/>
      <c r="E45" s="735"/>
      <c r="F45" s="230" t="s">
        <v>371</v>
      </c>
      <c r="G45" s="228">
        <v>1.08E-3</v>
      </c>
      <c r="H45" s="230" t="s">
        <v>365</v>
      </c>
      <c r="I45" s="242" t="s">
        <v>366</v>
      </c>
      <c r="J45" s="242" t="s">
        <v>195</v>
      </c>
      <c r="K45" s="242" t="s">
        <v>57</v>
      </c>
      <c r="L45" s="232">
        <f>636*469/1000000</f>
        <v>0.29828399999999999</v>
      </c>
      <c r="M45" s="232" t="s">
        <v>391</v>
      </c>
    </row>
    <row r="46" spans="1:14">
      <c r="A46" s="735"/>
      <c r="B46" s="738"/>
      <c r="C46" s="738"/>
      <c r="D46" s="738"/>
      <c r="E46" s="735"/>
      <c r="F46" s="230" t="s">
        <v>372</v>
      </c>
      <c r="G46" s="228">
        <v>5.4100000000000003E-4</v>
      </c>
      <c r="H46" s="230" t="s">
        <v>365</v>
      </c>
      <c r="I46" s="242" t="s">
        <v>366</v>
      </c>
      <c r="J46" s="242" t="s">
        <v>195</v>
      </c>
      <c r="K46" s="242" t="s">
        <v>57</v>
      </c>
      <c r="L46" s="232">
        <f>469*318/1000000</f>
        <v>0.149142</v>
      </c>
      <c r="M46" s="232" t="s">
        <v>391</v>
      </c>
    </row>
    <row r="47" spans="1:14">
      <c r="A47" s="735"/>
      <c r="B47" s="738"/>
      <c r="C47" s="738"/>
      <c r="D47" s="738"/>
      <c r="E47" s="735"/>
      <c r="F47" s="230" t="s">
        <v>373</v>
      </c>
      <c r="G47" s="228">
        <v>3.1199999999999999E-3</v>
      </c>
      <c r="H47" s="230" t="s">
        <v>365</v>
      </c>
      <c r="I47" s="242" t="s">
        <v>366</v>
      </c>
      <c r="J47" s="242" t="s">
        <v>195</v>
      </c>
      <c r="K47" s="242" t="s">
        <v>57</v>
      </c>
      <c r="L47" s="232">
        <f>1091*788/1000000</f>
        <v>0.85970800000000003</v>
      </c>
      <c r="M47" s="232" t="s">
        <v>391</v>
      </c>
    </row>
    <row r="48" spans="1:14">
      <c r="A48" s="735"/>
      <c r="B48" s="738"/>
      <c r="C48" s="738"/>
      <c r="D48" s="738"/>
      <c r="E48" s="735"/>
      <c r="F48" s="230" t="s">
        <v>1330</v>
      </c>
      <c r="G48" s="228">
        <v>1.56E-3</v>
      </c>
      <c r="H48" s="230" t="s">
        <v>365</v>
      </c>
      <c r="I48" s="242" t="s">
        <v>366</v>
      </c>
      <c r="J48" s="242" t="s">
        <v>195</v>
      </c>
      <c r="K48" s="242" t="s">
        <v>57</v>
      </c>
      <c r="L48" s="232">
        <f>788*545/1000000</f>
        <v>0.42946000000000001</v>
      </c>
      <c r="M48" s="232" t="s">
        <v>391</v>
      </c>
    </row>
    <row r="49" spans="1:13">
      <c r="A49" s="735"/>
      <c r="B49" s="738"/>
      <c r="C49" s="738"/>
      <c r="D49" s="738"/>
      <c r="E49" s="735"/>
      <c r="F49" s="230" t="s">
        <v>374</v>
      </c>
      <c r="G49" s="228">
        <v>7.7800000000000005E-4</v>
      </c>
      <c r="H49" s="230" t="s">
        <v>365</v>
      </c>
      <c r="I49" s="242" t="s">
        <v>366</v>
      </c>
      <c r="J49" s="242" t="s">
        <v>195</v>
      </c>
      <c r="K49" s="242" t="s">
        <v>57</v>
      </c>
      <c r="L49" s="232">
        <f>545*394/1000000</f>
        <v>0.21473</v>
      </c>
      <c r="M49" s="232" t="s">
        <v>391</v>
      </c>
    </row>
    <row r="50" spans="1:13">
      <c r="A50" s="735"/>
      <c r="B50" s="738"/>
      <c r="C50" s="738"/>
      <c r="D50" s="738"/>
      <c r="E50" s="736"/>
      <c r="F50" s="322" t="s">
        <v>939</v>
      </c>
      <c r="G50" s="228">
        <f>L50*G51</f>
        <v>5.7524333999999996E-4</v>
      </c>
      <c r="H50" s="230" t="s">
        <v>940</v>
      </c>
      <c r="I50" s="242" t="s">
        <v>366</v>
      </c>
      <c r="J50" s="232" t="s">
        <v>195</v>
      </c>
      <c r="K50" s="232" t="s">
        <v>889</v>
      </c>
      <c r="L50" s="232">
        <f>0.329*0.483</f>
        <v>0.15890699999999999</v>
      </c>
      <c r="M50" s="232" t="s">
        <v>391</v>
      </c>
    </row>
    <row r="51" spans="1:13">
      <c r="A51" s="736"/>
      <c r="B51" s="739"/>
      <c r="C51" s="739"/>
      <c r="D51" s="739"/>
      <c r="E51" s="227" t="s">
        <v>375</v>
      </c>
      <c r="F51" s="227" t="s">
        <v>1122</v>
      </c>
      <c r="G51" s="444">
        <v>3.62E-3</v>
      </c>
      <c r="H51" s="240" t="s">
        <v>983</v>
      </c>
      <c r="I51" s="456"/>
      <c r="J51" s="445" t="s">
        <v>195</v>
      </c>
      <c r="K51" s="445" t="s">
        <v>57</v>
      </c>
      <c r="L51" s="446">
        <v>1</v>
      </c>
      <c r="M51" s="232" t="s">
        <v>391</v>
      </c>
    </row>
    <row r="52" spans="1:13">
      <c r="A52" s="734" t="s">
        <v>251</v>
      </c>
      <c r="B52" s="737" t="s">
        <v>357</v>
      </c>
      <c r="C52" s="751" t="s">
        <v>348</v>
      </c>
      <c r="D52" s="230" t="s">
        <v>337</v>
      </c>
      <c r="E52" s="230"/>
      <c r="F52" s="230"/>
      <c r="G52" s="228">
        <v>9.8799999999999999E-3</v>
      </c>
      <c r="H52" s="230" t="s">
        <v>364</v>
      </c>
      <c r="I52" s="232"/>
    </row>
    <row r="53" spans="1:13">
      <c r="A53" s="735"/>
      <c r="B53" s="739"/>
      <c r="C53" s="752"/>
      <c r="D53" s="230" t="s">
        <v>338</v>
      </c>
      <c r="E53" s="230"/>
      <c r="F53" s="230"/>
      <c r="G53" s="228">
        <v>3.4699999999999998E-4</v>
      </c>
      <c r="H53" s="230" t="s">
        <v>364</v>
      </c>
      <c r="I53" s="232"/>
    </row>
    <row r="54" spans="1:13">
      <c r="A54" s="233"/>
      <c r="B54" s="231" t="s">
        <v>248</v>
      </c>
      <c r="C54" s="231" t="s">
        <v>349</v>
      </c>
      <c r="D54" s="230" t="s">
        <v>339</v>
      </c>
      <c r="E54" s="230"/>
      <c r="F54" s="230"/>
      <c r="G54" s="228">
        <v>1.6100000000000001E-3</v>
      </c>
      <c r="H54" s="230" t="s">
        <v>363</v>
      </c>
      <c r="I54" s="232"/>
    </row>
    <row r="55" spans="1:13">
      <c r="A55" s="734" t="s">
        <v>252</v>
      </c>
      <c r="B55" s="231" t="s">
        <v>358</v>
      </c>
      <c r="C55" s="231" t="s">
        <v>350</v>
      </c>
      <c r="D55" s="230" t="s">
        <v>340</v>
      </c>
      <c r="E55" s="230"/>
      <c r="F55" s="230"/>
      <c r="G55" s="228">
        <v>1.74</v>
      </c>
      <c r="H55" s="230" t="s">
        <v>362</v>
      </c>
      <c r="I55" s="232"/>
    </row>
    <row r="56" spans="1:13">
      <c r="A56" s="735"/>
      <c r="B56" s="231" t="s">
        <v>242</v>
      </c>
      <c r="C56" s="231" t="s">
        <v>351</v>
      </c>
      <c r="D56" s="230" t="s">
        <v>1216</v>
      </c>
      <c r="E56" s="230"/>
      <c r="F56" s="230"/>
      <c r="G56" s="228">
        <v>4.8399999999999997E-3</v>
      </c>
      <c r="H56" s="230" t="s">
        <v>363</v>
      </c>
      <c r="I56" s="232"/>
    </row>
    <row r="57" spans="1:13">
      <c r="A57" s="735"/>
      <c r="B57" s="645"/>
      <c r="C57" s="231"/>
      <c r="D57" s="230" t="s">
        <v>1217</v>
      </c>
      <c r="E57" s="230"/>
      <c r="F57" s="230"/>
      <c r="G57" s="228">
        <v>1.1299999999999999E-3</v>
      </c>
      <c r="H57" s="230" t="s">
        <v>1218</v>
      </c>
      <c r="I57" s="232"/>
    </row>
    <row r="58" spans="1:13">
      <c r="A58" s="735"/>
      <c r="B58" s="737" t="s">
        <v>357</v>
      </c>
      <c r="C58" s="231" t="s">
        <v>352</v>
      </c>
      <c r="D58" s="230" t="s">
        <v>342</v>
      </c>
      <c r="E58" s="230"/>
      <c r="F58" s="230"/>
      <c r="G58" s="228">
        <v>2.33E-3</v>
      </c>
      <c r="H58" s="230" t="s">
        <v>363</v>
      </c>
      <c r="I58" s="232"/>
    </row>
    <row r="59" spans="1:13">
      <c r="A59" s="735"/>
      <c r="B59" s="738"/>
      <c r="C59" s="737" t="s">
        <v>353</v>
      </c>
      <c r="D59" s="230" t="s">
        <v>356</v>
      </c>
      <c r="E59" s="230"/>
      <c r="F59" s="230"/>
      <c r="G59" s="228">
        <v>2.5999999999999999E-3</v>
      </c>
      <c r="H59" s="230" t="s">
        <v>363</v>
      </c>
      <c r="I59" s="232"/>
    </row>
    <row r="60" spans="1:13">
      <c r="A60" s="735"/>
      <c r="B60" s="738"/>
      <c r="C60" s="738"/>
      <c r="D60" s="230" t="s">
        <v>343</v>
      </c>
      <c r="E60" s="230"/>
      <c r="F60" s="230"/>
      <c r="G60" s="228">
        <v>7.8799999999999995E-2</v>
      </c>
      <c r="H60" s="230" t="s">
        <v>364</v>
      </c>
      <c r="I60" s="232"/>
    </row>
    <row r="61" spans="1:13">
      <c r="A61" s="735"/>
      <c r="B61" s="739"/>
      <c r="C61" s="739"/>
      <c r="D61" s="230" t="s">
        <v>344</v>
      </c>
      <c r="E61" s="230"/>
      <c r="F61" s="230"/>
      <c r="G61" s="228">
        <v>3.64E-3</v>
      </c>
      <c r="H61" s="230" t="s">
        <v>364</v>
      </c>
      <c r="I61" s="232"/>
    </row>
    <row r="62" spans="1:13">
      <c r="A62" s="735"/>
      <c r="B62" s="231" t="s">
        <v>248</v>
      </c>
      <c r="C62" s="231" t="s">
        <v>354</v>
      </c>
      <c r="D62" s="230" t="s">
        <v>345</v>
      </c>
      <c r="E62" s="230"/>
      <c r="F62" s="230"/>
      <c r="G62" s="228">
        <v>1.36E-5</v>
      </c>
      <c r="H62" s="230" t="s">
        <v>363</v>
      </c>
      <c r="I62" s="232"/>
    </row>
    <row r="63" spans="1:13">
      <c r="A63" s="736"/>
      <c r="B63" s="231" t="s">
        <v>359</v>
      </c>
      <c r="C63" s="231" t="s">
        <v>355</v>
      </c>
      <c r="D63" s="230" t="s">
        <v>346</v>
      </c>
      <c r="E63" s="230"/>
      <c r="F63" s="230"/>
      <c r="G63" s="228">
        <v>1.5100000000000001E-2</v>
      </c>
      <c r="H63" s="230" t="s">
        <v>363</v>
      </c>
      <c r="I63" s="232"/>
    </row>
    <row r="64" spans="1:13">
      <c r="A64" s="230"/>
      <c r="B64" s="230"/>
      <c r="C64" s="231"/>
      <c r="D64" s="230"/>
      <c r="E64" s="230"/>
      <c r="F64" s="230"/>
      <c r="G64" s="228"/>
      <c r="H64" s="230"/>
      <c r="I64" s="232"/>
    </row>
    <row r="67" spans="1:3">
      <c r="A67" s="11" t="s">
        <v>1226</v>
      </c>
    </row>
    <row r="69" spans="1:3" ht="24">
      <c r="A69" s="653" t="s">
        <v>1227</v>
      </c>
      <c r="B69" s="653" t="s">
        <v>1228</v>
      </c>
      <c r="C69" s="654" t="s">
        <v>1230</v>
      </c>
    </row>
    <row r="70" spans="1:3" ht="25.5">
      <c r="A70" s="655" t="s">
        <v>1233</v>
      </c>
      <c r="B70" s="656">
        <v>210</v>
      </c>
      <c r="C70" s="654" t="s">
        <v>1229</v>
      </c>
    </row>
    <row r="71" spans="1:3" ht="25.5">
      <c r="A71" s="655" t="s">
        <v>1232</v>
      </c>
      <c r="B71" s="657">
        <v>480</v>
      </c>
      <c r="C71" s="654" t="s">
        <v>1229</v>
      </c>
    </row>
    <row r="72" spans="1:3" ht="25.5">
      <c r="A72" s="655" t="s">
        <v>1234</v>
      </c>
      <c r="B72" s="656">
        <v>540</v>
      </c>
      <c r="C72" s="654" t="s">
        <v>1229</v>
      </c>
    </row>
    <row r="73" spans="1:3" ht="25.5">
      <c r="A73" s="655" t="s">
        <v>1236</v>
      </c>
      <c r="B73" s="656">
        <v>960</v>
      </c>
      <c r="C73" s="654" t="s">
        <v>1229</v>
      </c>
    </row>
    <row r="74" spans="1:3" ht="25.5">
      <c r="A74" s="655" t="s">
        <v>1237</v>
      </c>
      <c r="B74" s="656">
        <v>550</v>
      </c>
      <c r="C74" s="654" t="s">
        <v>1229</v>
      </c>
    </row>
    <row r="75" spans="1:3" ht="25.5">
      <c r="A75" s="655" t="s">
        <v>1239</v>
      </c>
      <c r="B75" s="656">
        <v>670</v>
      </c>
      <c r="C75" s="654" t="s">
        <v>1229</v>
      </c>
    </row>
    <row r="76" spans="1:3" ht="25.5">
      <c r="A76" s="655" t="s">
        <v>1241</v>
      </c>
      <c r="B76" s="656">
        <v>1100</v>
      </c>
      <c r="C76" s="654" t="s">
        <v>1229</v>
      </c>
    </row>
    <row r="79" spans="1:3">
      <c r="A79" s="22" t="s">
        <v>418</v>
      </c>
    </row>
    <row r="81" spans="1:11">
      <c r="A81" s="283" t="s">
        <v>332</v>
      </c>
      <c r="B81" s="283" t="s">
        <v>415</v>
      </c>
      <c r="C81" s="283"/>
      <c r="D81" s="283" t="s">
        <v>22</v>
      </c>
      <c r="E81" s="283" t="s">
        <v>18</v>
      </c>
      <c r="F81" s="283"/>
      <c r="G81" s="284" t="s">
        <v>19</v>
      </c>
      <c r="H81" s="283" t="s">
        <v>139</v>
      </c>
      <c r="I81" s="283" t="s">
        <v>413</v>
      </c>
      <c r="J81" s="283"/>
      <c r="K81" s="284" t="s">
        <v>19</v>
      </c>
    </row>
    <row r="82" spans="1:11">
      <c r="A82" s="744" t="s">
        <v>251</v>
      </c>
      <c r="B82" s="322" t="s">
        <v>948</v>
      </c>
      <c r="C82" s="323"/>
      <c r="D82" s="230" t="s">
        <v>426</v>
      </c>
      <c r="E82" s="271">
        <v>0.57099999999999995</v>
      </c>
      <c r="F82" s="230" t="s">
        <v>417</v>
      </c>
      <c r="G82" s="240" t="s">
        <v>69</v>
      </c>
      <c r="H82" s="230" t="s">
        <v>427</v>
      </c>
      <c r="I82" s="230">
        <v>500</v>
      </c>
      <c r="J82" s="230" t="s">
        <v>414</v>
      </c>
      <c r="K82" s="240" t="s">
        <v>69</v>
      </c>
    </row>
    <row r="83" spans="1:11">
      <c r="A83" s="745"/>
      <c r="B83" s="322" t="s">
        <v>949</v>
      </c>
      <c r="C83" s="323"/>
      <c r="D83" s="230" t="s">
        <v>426</v>
      </c>
      <c r="E83" s="271">
        <v>0.57099999999999995</v>
      </c>
      <c r="F83" s="230" t="s">
        <v>417</v>
      </c>
      <c r="G83" s="240" t="s">
        <v>69</v>
      </c>
      <c r="H83" s="230" t="s">
        <v>427</v>
      </c>
      <c r="I83" s="230"/>
      <c r="J83" s="230"/>
      <c r="K83" s="240"/>
    </row>
    <row r="84" spans="1:11">
      <c r="A84" s="745"/>
      <c r="B84" s="322" t="s">
        <v>947</v>
      </c>
      <c r="C84" s="323"/>
      <c r="D84" s="230" t="s">
        <v>426</v>
      </c>
      <c r="E84" s="271">
        <v>0.57099999999999995</v>
      </c>
      <c r="F84" s="230" t="s">
        <v>417</v>
      </c>
      <c r="G84" s="240" t="s">
        <v>69</v>
      </c>
      <c r="H84" s="230" t="s">
        <v>427</v>
      </c>
      <c r="I84" s="230">
        <v>500</v>
      </c>
      <c r="J84" s="230" t="s">
        <v>414</v>
      </c>
      <c r="K84" s="240" t="s">
        <v>69</v>
      </c>
    </row>
    <row r="85" spans="1:11">
      <c r="A85" s="746"/>
      <c r="B85" s="322" t="s">
        <v>416</v>
      </c>
      <c r="C85" s="323"/>
      <c r="D85" s="230" t="s">
        <v>424</v>
      </c>
      <c r="E85" s="271">
        <v>0.313</v>
      </c>
      <c r="F85" s="230" t="s">
        <v>422</v>
      </c>
      <c r="G85" s="240" t="s">
        <v>69</v>
      </c>
      <c r="H85" s="231" t="s">
        <v>425</v>
      </c>
      <c r="I85" s="230">
        <v>500</v>
      </c>
      <c r="J85" s="230" t="s">
        <v>414</v>
      </c>
      <c r="K85" s="240" t="s">
        <v>69</v>
      </c>
    </row>
    <row r="86" spans="1:11">
      <c r="A86" s="737" t="s">
        <v>419</v>
      </c>
      <c r="B86" s="753" t="s">
        <v>704</v>
      </c>
      <c r="C86" s="230" t="s">
        <v>778</v>
      </c>
      <c r="D86" s="230" t="s">
        <v>779</v>
      </c>
      <c r="E86" s="271">
        <v>0</v>
      </c>
      <c r="F86" s="230" t="s">
        <v>481</v>
      </c>
      <c r="G86" s="240" t="s">
        <v>69</v>
      </c>
      <c r="H86" s="231" t="s">
        <v>427</v>
      </c>
      <c r="I86" s="230">
        <v>0</v>
      </c>
      <c r="J86" s="230" t="s">
        <v>834</v>
      </c>
      <c r="K86" s="240" t="s">
        <v>832</v>
      </c>
    </row>
    <row r="87" spans="1:11">
      <c r="A87" s="738"/>
      <c r="B87" s="754"/>
      <c r="C87" s="230" t="s">
        <v>705</v>
      </c>
      <c r="D87" s="230" t="s">
        <v>426</v>
      </c>
      <c r="E87" s="271">
        <v>0.57099999999999995</v>
      </c>
      <c r="F87" s="230" t="s">
        <v>417</v>
      </c>
      <c r="G87" s="240" t="s">
        <v>69</v>
      </c>
      <c r="H87" s="231" t="s">
        <v>427</v>
      </c>
      <c r="I87" s="230">
        <v>50</v>
      </c>
      <c r="J87" s="230" t="s">
        <v>414</v>
      </c>
      <c r="K87" s="240" t="s">
        <v>69</v>
      </c>
    </row>
    <row r="88" spans="1:11">
      <c r="A88" s="738"/>
      <c r="B88" s="754"/>
      <c r="C88" s="230" t="s">
        <v>706</v>
      </c>
      <c r="D88" s="230" t="s">
        <v>426</v>
      </c>
      <c r="E88" s="271">
        <v>0.57099999999999995</v>
      </c>
      <c r="F88" s="230" t="s">
        <v>417</v>
      </c>
      <c r="G88" s="240" t="s">
        <v>69</v>
      </c>
      <c r="H88" s="231" t="s">
        <v>427</v>
      </c>
      <c r="I88" s="230">
        <v>100</v>
      </c>
      <c r="J88" s="230" t="s">
        <v>414</v>
      </c>
      <c r="K88" s="240" t="s">
        <v>69</v>
      </c>
    </row>
    <row r="89" spans="1:11">
      <c r="A89" s="738"/>
      <c r="B89" s="755"/>
      <c r="C89" s="230" t="s">
        <v>707</v>
      </c>
      <c r="D89" s="230" t="s">
        <v>426</v>
      </c>
      <c r="E89" s="271">
        <v>0.57099999999999995</v>
      </c>
      <c r="F89" s="230" t="s">
        <v>417</v>
      </c>
      <c r="G89" s="240" t="s">
        <v>69</v>
      </c>
      <c r="H89" s="231" t="s">
        <v>427</v>
      </c>
      <c r="I89" s="230">
        <v>100</v>
      </c>
      <c r="J89" s="230" t="s">
        <v>414</v>
      </c>
      <c r="K89" s="240" t="s">
        <v>69</v>
      </c>
    </row>
    <row r="90" spans="1:11">
      <c r="A90" s="739"/>
      <c r="B90" s="322" t="s">
        <v>421</v>
      </c>
      <c r="C90" s="323"/>
      <c r="D90" s="230" t="s">
        <v>426</v>
      </c>
      <c r="E90" s="271">
        <v>0.57099999999999995</v>
      </c>
      <c r="F90" s="230" t="s">
        <v>417</v>
      </c>
      <c r="G90" s="240" t="s">
        <v>69</v>
      </c>
      <c r="H90" s="231" t="s">
        <v>428</v>
      </c>
      <c r="I90" s="230">
        <v>100</v>
      </c>
      <c r="J90" s="230" t="s">
        <v>414</v>
      </c>
      <c r="K90" s="240" t="s">
        <v>69</v>
      </c>
    </row>
    <row r="91" spans="1:11">
      <c r="A91" s="744" t="s">
        <v>475</v>
      </c>
      <c r="B91" s="741" t="s">
        <v>1007</v>
      </c>
      <c r="C91" s="230" t="s">
        <v>1005</v>
      </c>
      <c r="D91" s="230" t="s">
        <v>484</v>
      </c>
      <c r="E91" s="272">
        <v>0.32500000000000001</v>
      </c>
      <c r="F91" s="230" t="s">
        <v>481</v>
      </c>
      <c r="G91" s="240" t="s">
        <v>69</v>
      </c>
      <c r="H91" s="234" t="s">
        <v>483</v>
      </c>
      <c r="I91" s="413">
        <f>個別製品情報入力シート!E54</f>
        <v>0</v>
      </c>
      <c r="J91" s="230" t="s">
        <v>414</v>
      </c>
      <c r="K91" s="240" t="s">
        <v>69</v>
      </c>
    </row>
    <row r="92" spans="1:11">
      <c r="A92" s="745"/>
      <c r="B92" s="742"/>
      <c r="C92" s="230" t="s">
        <v>709</v>
      </c>
      <c r="D92" s="230" t="s">
        <v>478</v>
      </c>
      <c r="E92" s="272">
        <v>0.32500000000000001</v>
      </c>
      <c r="F92" s="230" t="s">
        <v>481</v>
      </c>
      <c r="G92" s="240" t="s">
        <v>69</v>
      </c>
      <c r="H92" s="234" t="s">
        <v>483</v>
      </c>
      <c r="I92" s="230">
        <v>1000</v>
      </c>
      <c r="J92" s="230" t="s">
        <v>414</v>
      </c>
      <c r="K92" s="240" t="s">
        <v>69</v>
      </c>
    </row>
    <row r="93" spans="1:11">
      <c r="A93" s="745"/>
      <c r="B93" s="742"/>
      <c r="C93" s="230" t="s">
        <v>1074</v>
      </c>
      <c r="D93" s="230" t="s">
        <v>478</v>
      </c>
      <c r="E93" s="272">
        <v>0.32500000000000001</v>
      </c>
      <c r="F93" s="230" t="s">
        <v>481</v>
      </c>
      <c r="G93" s="240" t="s">
        <v>69</v>
      </c>
      <c r="H93" s="234" t="s">
        <v>483</v>
      </c>
      <c r="I93" s="230">
        <v>500</v>
      </c>
      <c r="J93" s="230" t="s">
        <v>414</v>
      </c>
      <c r="K93" s="240" t="s">
        <v>69</v>
      </c>
    </row>
    <row r="94" spans="1:11">
      <c r="A94" s="745"/>
      <c r="B94" s="742"/>
      <c r="C94" s="230" t="s">
        <v>706</v>
      </c>
      <c r="D94" s="230" t="s">
        <v>478</v>
      </c>
      <c r="E94" s="272">
        <v>0.32500000000000001</v>
      </c>
      <c r="F94" s="230" t="s">
        <v>481</v>
      </c>
      <c r="G94" s="240" t="s">
        <v>69</v>
      </c>
      <c r="H94" s="234" t="s">
        <v>483</v>
      </c>
      <c r="I94" s="230">
        <v>100</v>
      </c>
      <c r="J94" s="230" t="s">
        <v>414</v>
      </c>
      <c r="K94" s="240" t="s">
        <v>69</v>
      </c>
    </row>
    <row r="95" spans="1:11">
      <c r="A95" s="745"/>
      <c r="B95" s="742"/>
      <c r="C95" s="230" t="s">
        <v>705</v>
      </c>
      <c r="D95" s="230" t="s">
        <v>477</v>
      </c>
      <c r="E95" s="272">
        <v>0.32500000000000001</v>
      </c>
      <c r="F95" s="230" t="s">
        <v>481</v>
      </c>
      <c r="G95" s="240" t="s">
        <v>69</v>
      </c>
      <c r="H95" s="234" t="s">
        <v>1024</v>
      </c>
      <c r="I95" s="230">
        <v>50</v>
      </c>
      <c r="J95" s="230" t="s">
        <v>414</v>
      </c>
      <c r="K95" s="240" t="s">
        <v>69</v>
      </c>
    </row>
    <row r="96" spans="1:11">
      <c r="A96" s="745"/>
      <c r="B96" s="743"/>
      <c r="C96" s="230" t="s">
        <v>1006</v>
      </c>
      <c r="D96" s="230" t="s">
        <v>478</v>
      </c>
      <c r="E96" s="272">
        <v>0.32500000000000001</v>
      </c>
      <c r="F96" s="230" t="s">
        <v>481</v>
      </c>
      <c r="G96" s="240" t="s">
        <v>69</v>
      </c>
      <c r="H96" s="234" t="s">
        <v>483</v>
      </c>
      <c r="I96" s="230">
        <v>500</v>
      </c>
      <c r="J96" s="230" t="s">
        <v>414</v>
      </c>
      <c r="K96" s="240" t="s">
        <v>69</v>
      </c>
    </row>
    <row r="97" spans="1:11" ht="27">
      <c r="A97" s="745"/>
      <c r="B97" s="448" t="s">
        <v>1008</v>
      </c>
      <c r="C97" s="230"/>
      <c r="D97" s="230" t="s">
        <v>478</v>
      </c>
      <c r="E97" s="272">
        <v>0.32500000000000001</v>
      </c>
      <c r="F97" s="230" t="s">
        <v>481</v>
      </c>
      <c r="G97" s="240" t="s">
        <v>69</v>
      </c>
      <c r="H97" s="234" t="s">
        <v>483</v>
      </c>
      <c r="I97" s="230">
        <v>500</v>
      </c>
      <c r="J97" s="230" t="s">
        <v>414</v>
      </c>
      <c r="K97" s="240" t="s">
        <v>69</v>
      </c>
    </row>
    <row r="98" spans="1:11">
      <c r="A98" s="745"/>
      <c r="B98" s="734" t="s">
        <v>496</v>
      </c>
      <c r="C98" s="230" t="s">
        <v>831</v>
      </c>
      <c r="D98" s="230" t="s">
        <v>479</v>
      </c>
      <c r="E98" s="272">
        <v>0.32500000000000001</v>
      </c>
      <c r="F98" s="230" t="s">
        <v>481</v>
      </c>
      <c r="G98" s="240" t="s">
        <v>69</v>
      </c>
      <c r="H98" s="234" t="s">
        <v>483</v>
      </c>
      <c r="I98" s="413">
        <f>個別製品情報入力シート!E55</f>
        <v>0</v>
      </c>
      <c r="J98" s="230" t="s">
        <v>833</v>
      </c>
      <c r="K98" s="240" t="s">
        <v>832</v>
      </c>
    </row>
    <row r="99" spans="1:11">
      <c r="A99" s="745"/>
      <c r="B99" s="735"/>
      <c r="C99" s="230" t="s">
        <v>709</v>
      </c>
      <c r="D99" s="230" t="s">
        <v>479</v>
      </c>
      <c r="E99" s="272">
        <v>0.32500000000000001</v>
      </c>
      <c r="F99" s="230" t="s">
        <v>481</v>
      </c>
      <c r="G99" s="240" t="s">
        <v>69</v>
      </c>
      <c r="H99" s="234" t="s">
        <v>483</v>
      </c>
      <c r="I99" s="230">
        <v>1000</v>
      </c>
      <c r="J99" s="230" t="s">
        <v>414</v>
      </c>
      <c r="K99" s="240" t="s">
        <v>69</v>
      </c>
    </row>
    <row r="100" spans="1:11">
      <c r="A100" s="745"/>
      <c r="B100" s="735"/>
      <c r="C100" s="230" t="s">
        <v>1074</v>
      </c>
      <c r="D100" s="230" t="s">
        <v>478</v>
      </c>
      <c r="E100" s="272">
        <v>0.32500000000000001</v>
      </c>
      <c r="F100" s="230" t="s">
        <v>481</v>
      </c>
      <c r="G100" s="240" t="s">
        <v>69</v>
      </c>
      <c r="H100" s="234" t="s">
        <v>483</v>
      </c>
      <c r="I100" s="230">
        <v>500</v>
      </c>
      <c r="J100" s="230" t="s">
        <v>414</v>
      </c>
      <c r="K100" s="240" t="s">
        <v>69</v>
      </c>
    </row>
    <row r="101" spans="1:11">
      <c r="A101" s="745"/>
      <c r="B101" s="735"/>
      <c r="C101" s="230" t="s">
        <v>706</v>
      </c>
      <c r="D101" s="230" t="s">
        <v>478</v>
      </c>
      <c r="E101" s="272">
        <v>0.32500000000000001</v>
      </c>
      <c r="F101" s="230" t="s">
        <v>481</v>
      </c>
      <c r="G101" s="240" t="s">
        <v>69</v>
      </c>
      <c r="H101" s="234" t="s">
        <v>483</v>
      </c>
      <c r="I101" s="230">
        <v>100</v>
      </c>
      <c r="J101" s="230" t="s">
        <v>414</v>
      </c>
      <c r="K101" s="240" t="s">
        <v>69</v>
      </c>
    </row>
    <row r="102" spans="1:11">
      <c r="A102" s="745"/>
      <c r="B102" s="735"/>
      <c r="C102" s="230" t="s">
        <v>1023</v>
      </c>
      <c r="D102" s="230" t="s">
        <v>477</v>
      </c>
      <c r="E102" s="272">
        <v>0.32500000000000001</v>
      </c>
      <c r="F102" s="230" t="s">
        <v>481</v>
      </c>
      <c r="G102" s="240" t="s">
        <v>69</v>
      </c>
      <c r="H102" s="234" t="s">
        <v>1024</v>
      </c>
      <c r="I102" s="230">
        <v>50</v>
      </c>
      <c r="J102" s="230" t="s">
        <v>414</v>
      </c>
      <c r="K102" s="240" t="s">
        <v>69</v>
      </c>
    </row>
    <row r="103" spans="1:11">
      <c r="A103" s="746"/>
      <c r="B103" s="736"/>
      <c r="C103" s="230" t="s">
        <v>707</v>
      </c>
      <c r="D103" s="230" t="s">
        <v>478</v>
      </c>
      <c r="E103" s="272">
        <v>0.32500000000000001</v>
      </c>
      <c r="F103" s="230" t="s">
        <v>481</v>
      </c>
      <c r="G103" s="240" t="s">
        <v>69</v>
      </c>
      <c r="H103" s="234" t="s">
        <v>483</v>
      </c>
      <c r="I103" s="230">
        <v>500</v>
      </c>
      <c r="J103" s="230" t="s">
        <v>414</v>
      </c>
      <c r="K103" s="240" t="s">
        <v>69</v>
      </c>
    </row>
    <row r="104" spans="1:11">
      <c r="A104" s="737" t="s">
        <v>476</v>
      </c>
      <c r="B104" s="322" t="s">
        <v>1208</v>
      </c>
      <c r="C104" s="323"/>
      <c r="D104" s="230" t="s">
        <v>480</v>
      </c>
      <c r="E104" s="273">
        <v>0.89600000000000002</v>
      </c>
      <c r="F104" s="230" t="s">
        <v>481</v>
      </c>
      <c r="G104" s="240" t="s">
        <v>69</v>
      </c>
      <c r="H104" s="231" t="s">
        <v>482</v>
      </c>
      <c r="I104" s="230">
        <v>50</v>
      </c>
      <c r="J104" s="230" t="s">
        <v>414</v>
      </c>
      <c r="K104" s="232" t="s">
        <v>69</v>
      </c>
    </row>
    <row r="105" spans="1:11">
      <c r="A105" s="739"/>
      <c r="B105" s="749" t="s">
        <v>1209</v>
      </c>
      <c r="C105" s="750"/>
      <c r="D105" s="230" t="s">
        <v>1210</v>
      </c>
      <c r="E105" s="273">
        <v>0.51</v>
      </c>
      <c r="F105" s="230" t="s">
        <v>1214</v>
      </c>
      <c r="G105" s="230" t="s">
        <v>1211</v>
      </c>
      <c r="H105" s="230" t="s">
        <v>1212</v>
      </c>
      <c r="I105" s="232">
        <v>50</v>
      </c>
      <c r="J105" s="232" t="s">
        <v>1213</v>
      </c>
      <c r="K105" s="232" t="s">
        <v>69</v>
      </c>
    </row>
    <row r="106" spans="1:11">
      <c r="A106" s="22"/>
      <c r="I106" s="11"/>
    </row>
    <row r="107" spans="1:11">
      <c r="A107" s="22" t="s">
        <v>497</v>
      </c>
      <c r="B107" s="11"/>
      <c r="C107" s="11"/>
      <c r="D107" s="11"/>
      <c r="I107" s="11"/>
    </row>
    <row r="108" spans="1:11">
      <c r="A108" s="247" t="s">
        <v>19</v>
      </c>
      <c r="B108" s="218" t="s">
        <v>22</v>
      </c>
      <c r="C108" s="219" t="s">
        <v>8</v>
      </c>
      <c r="D108" s="219" t="s">
        <v>15</v>
      </c>
      <c r="E108" s="247" t="s">
        <v>19</v>
      </c>
      <c r="F108" s="218" t="s">
        <v>139</v>
      </c>
      <c r="G108" s="218" t="s">
        <v>1103</v>
      </c>
      <c r="H108" s="11"/>
      <c r="I108" s="11"/>
    </row>
    <row r="109" spans="1:11">
      <c r="A109" s="230" t="s">
        <v>1114</v>
      </c>
      <c r="B109" s="232"/>
      <c r="C109" s="229">
        <v>1.09E-7</v>
      </c>
      <c r="D109" s="230" t="s">
        <v>498</v>
      </c>
      <c r="E109" s="232" t="s">
        <v>57</v>
      </c>
      <c r="F109" s="230" t="s">
        <v>195</v>
      </c>
      <c r="G109" s="455" t="s">
        <v>925</v>
      </c>
      <c r="I109" s="11"/>
    </row>
    <row r="110" spans="1:11">
      <c r="A110" s="230" t="s">
        <v>1113</v>
      </c>
      <c r="B110" s="232"/>
      <c r="C110" s="229">
        <v>1.9000000000000001E-4</v>
      </c>
      <c r="D110" s="230" t="s">
        <v>515</v>
      </c>
      <c r="E110" s="232" t="s">
        <v>57</v>
      </c>
      <c r="F110" s="230" t="s">
        <v>195</v>
      </c>
      <c r="G110" s="455" t="s">
        <v>925</v>
      </c>
      <c r="I110" s="11"/>
    </row>
    <row r="111" spans="1:11">
      <c r="A111" s="747" t="s">
        <v>470</v>
      </c>
      <c r="B111" s="232" t="s">
        <v>931</v>
      </c>
      <c r="C111" s="442">
        <f>C123*G111</f>
        <v>8.811E-4</v>
      </c>
      <c r="D111" s="230" t="s">
        <v>499</v>
      </c>
      <c r="E111" s="232" t="s">
        <v>57</v>
      </c>
      <c r="F111" s="230" t="s">
        <v>195</v>
      </c>
      <c r="G111" s="454">
        <f>G112*2</f>
        <v>1.1000000000000001</v>
      </c>
      <c r="H111" s="11"/>
      <c r="I111" s="11"/>
    </row>
    <row r="112" spans="1:11">
      <c r="A112" s="748"/>
      <c r="B112" s="232" t="s">
        <v>500</v>
      </c>
      <c r="C112" s="229">
        <v>4.4000000000000002E-4</v>
      </c>
      <c r="D112" s="230" t="s">
        <v>499</v>
      </c>
      <c r="E112" s="232" t="s">
        <v>57</v>
      </c>
      <c r="F112" s="230" t="s">
        <v>195</v>
      </c>
      <c r="G112" s="454">
        <f>0.625*0.88</f>
        <v>0.55000000000000004</v>
      </c>
      <c r="H112" s="443">
        <f>G112*C123</f>
        <v>4.4055E-4</v>
      </c>
      <c r="I112" s="11"/>
    </row>
    <row r="113" spans="1:9">
      <c r="A113" s="748"/>
      <c r="B113" s="232" t="s">
        <v>369</v>
      </c>
      <c r="C113" s="229">
        <v>2.2000000000000001E-4</v>
      </c>
      <c r="D113" s="230" t="s">
        <v>499</v>
      </c>
      <c r="E113" s="232" t="s">
        <v>57</v>
      </c>
      <c r="F113" s="230" t="s">
        <v>195</v>
      </c>
      <c r="G113" s="454">
        <f>0.625*0.44</f>
        <v>0.27500000000000002</v>
      </c>
      <c r="I113" s="11"/>
    </row>
    <row r="114" spans="1:9">
      <c r="A114" s="748"/>
      <c r="B114" s="232" t="s">
        <v>932</v>
      </c>
      <c r="C114" s="442">
        <f>G114*C123</f>
        <v>6.6485002499999993E-4</v>
      </c>
      <c r="D114" s="230" t="s">
        <v>499</v>
      </c>
      <c r="E114" s="232" t="s">
        <v>57</v>
      </c>
      <c r="F114" s="230" t="s">
        <v>935</v>
      </c>
      <c r="G114" s="454">
        <f>0.765*1.085</f>
        <v>0.83002500000000001</v>
      </c>
      <c r="I114" s="11"/>
    </row>
    <row r="115" spans="1:9">
      <c r="A115" s="748"/>
      <c r="B115" s="232" t="s">
        <v>933</v>
      </c>
      <c r="C115" s="442">
        <f>G115*C123</f>
        <v>6.9686999999999993E-4</v>
      </c>
      <c r="D115" s="230" t="s">
        <v>499</v>
      </c>
      <c r="E115" s="232" t="s">
        <v>57</v>
      </c>
      <c r="F115" s="230" t="s">
        <v>935</v>
      </c>
      <c r="G115" s="454">
        <f>G55/2</f>
        <v>0.87</v>
      </c>
      <c r="I115" s="11"/>
    </row>
    <row r="116" spans="1:9">
      <c r="A116" s="748"/>
      <c r="B116" s="232" t="s">
        <v>501</v>
      </c>
      <c r="C116" s="229">
        <v>4.7800000000000002E-4</v>
      </c>
      <c r="D116" s="230" t="s">
        <v>499</v>
      </c>
      <c r="E116" s="232" t="s">
        <v>57</v>
      </c>
      <c r="F116" s="230" t="s">
        <v>195</v>
      </c>
      <c r="G116" s="454">
        <f>0.636*0.939</f>
        <v>0.59720399999999996</v>
      </c>
      <c r="H116" s="441">
        <f>C123*G116</f>
        <v>4.7836040399999995E-4</v>
      </c>
      <c r="I116" s="11"/>
    </row>
    <row r="117" spans="1:9">
      <c r="A117" s="748"/>
      <c r="B117" s="232" t="s">
        <v>371</v>
      </c>
      <c r="C117" s="229">
        <v>2.3900000000000001E-4</v>
      </c>
      <c r="D117" s="230" t="s">
        <v>499</v>
      </c>
      <c r="E117" s="232" t="s">
        <v>57</v>
      </c>
      <c r="F117" s="230" t="s">
        <v>195</v>
      </c>
      <c r="G117" s="454">
        <f>G116/2</f>
        <v>0.29860199999999998</v>
      </c>
      <c r="I117" s="11"/>
    </row>
    <row r="118" spans="1:9">
      <c r="A118" s="748"/>
      <c r="B118" s="232" t="s">
        <v>372</v>
      </c>
      <c r="C118" s="229">
        <v>1.1900000000000001E-4</v>
      </c>
      <c r="D118" s="230" t="s">
        <v>499</v>
      </c>
      <c r="E118" s="232" t="s">
        <v>57</v>
      </c>
      <c r="F118" s="230" t="s">
        <v>195</v>
      </c>
      <c r="G118" s="454">
        <f>G116/4</f>
        <v>0.14930099999999999</v>
      </c>
      <c r="I118" s="11"/>
    </row>
    <row r="119" spans="1:9">
      <c r="A119" s="748"/>
      <c r="B119" s="232" t="s">
        <v>373</v>
      </c>
      <c r="C119" s="229">
        <v>6.8900000000000005E-4</v>
      </c>
      <c r="D119" s="230" t="s">
        <v>499</v>
      </c>
      <c r="E119" s="232" t="s">
        <v>57</v>
      </c>
      <c r="F119" s="230" t="s">
        <v>195</v>
      </c>
      <c r="G119" s="454">
        <f>1.091*0.788</f>
        <v>0.85970800000000003</v>
      </c>
      <c r="I119" s="11"/>
    </row>
    <row r="120" spans="1:9">
      <c r="A120" s="748"/>
      <c r="B120" s="232" t="s">
        <v>1330</v>
      </c>
      <c r="C120" s="229">
        <v>3.4400000000000001E-4</v>
      </c>
      <c r="D120" s="230" t="s">
        <v>499</v>
      </c>
      <c r="E120" s="232" t="s">
        <v>57</v>
      </c>
      <c r="F120" s="230" t="s">
        <v>195</v>
      </c>
      <c r="G120" s="454">
        <f>0.788*0.545</f>
        <v>0.42946000000000006</v>
      </c>
      <c r="I120" s="11"/>
    </row>
    <row r="121" spans="1:9">
      <c r="A121" s="748"/>
      <c r="B121" s="232" t="s">
        <v>374</v>
      </c>
      <c r="C121" s="229">
        <v>1.7200000000000001E-4</v>
      </c>
      <c r="D121" s="230" t="s">
        <v>499</v>
      </c>
      <c r="E121" s="232" t="s">
        <v>57</v>
      </c>
      <c r="F121" s="230" t="s">
        <v>195</v>
      </c>
      <c r="G121" s="454">
        <f>0.329*0.483</f>
        <v>0.15890699999999999</v>
      </c>
      <c r="I121" s="11"/>
    </row>
    <row r="122" spans="1:9">
      <c r="A122" s="748"/>
      <c r="B122" s="232" t="s">
        <v>934</v>
      </c>
      <c r="C122" s="442">
        <f>G122*C123</f>
        <v>1.2728450699999998E-4</v>
      </c>
      <c r="D122" s="230" t="s">
        <v>499</v>
      </c>
      <c r="E122" s="232" t="s">
        <v>57</v>
      </c>
      <c r="F122" s="230" t="s">
        <v>935</v>
      </c>
      <c r="G122" s="454">
        <v>0.15890699999999999</v>
      </c>
      <c r="I122" s="11"/>
    </row>
    <row r="123" spans="1:9">
      <c r="A123" s="748"/>
      <c r="B123" s="232" t="s">
        <v>1126</v>
      </c>
      <c r="C123" s="229">
        <v>8.0099999999999995E-4</v>
      </c>
      <c r="D123" s="413" t="s">
        <v>930</v>
      </c>
      <c r="E123" s="232" t="s">
        <v>57</v>
      </c>
      <c r="F123" s="230" t="s">
        <v>195</v>
      </c>
      <c r="G123" s="454">
        <v>1</v>
      </c>
      <c r="I123" s="11"/>
    </row>
    <row r="124" spans="1:9" s="241" customFormat="1">
      <c r="A124" s="244"/>
      <c r="C124" s="440"/>
      <c r="D124" s="238"/>
      <c r="E124" s="238"/>
      <c r="F124" s="22"/>
      <c r="G124" s="238"/>
      <c r="H124" s="238"/>
    </row>
    <row r="125" spans="1:9" s="241" customFormat="1">
      <c r="A125" s="325" t="s">
        <v>711</v>
      </c>
      <c r="B125" s="325"/>
      <c r="C125" s="325"/>
      <c r="D125" s="245"/>
      <c r="E125" s="238"/>
      <c r="F125" s="22"/>
      <c r="G125" s="238"/>
      <c r="H125" s="238"/>
    </row>
    <row r="126" spans="1:9" s="241" customFormat="1">
      <c r="A126" s="247" t="s">
        <v>19</v>
      </c>
      <c r="B126" s="218" t="s">
        <v>22</v>
      </c>
      <c r="C126" s="219" t="s">
        <v>8</v>
      </c>
      <c r="D126" s="219" t="s">
        <v>15</v>
      </c>
      <c r="E126" s="247" t="s">
        <v>19</v>
      </c>
      <c r="F126" s="218" t="s">
        <v>139</v>
      </c>
      <c r="G126" s="238"/>
      <c r="H126" s="238"/>
    </row>
    <row r="127" spans="1:9">
      <c r="A127" s="740" t="s">
        <v>508</v>
      </c>
      <c r="B127" s="269" t="s">
        <v>153</v>
      </c>
      <c r="C127" s="229">
        <v>0</v>
      </c>
      <c r="D127" s="230" t="s">
        <v>410</v>
      </c>
      <c r="E127" s="230" t="s">
        <v>57</v>
      </c>
      <c r="F127" s="230" t="s">
        <v>195</v>
      </c>
      <c r="G127" s="238"/>
    </row>
    <row r="128" spans="1:9">
      <c r="A128" s="740"/>
      <c r="B128" s="243" t="s">
        <v>510</v>
      </c>
      <c r="C128" s="229">
        <f>32.2/1000</f>
        <v>3.2199999999999999E-2</v>
      </c>
      <c r="D128" s="230" t="s">
        <v>410</v>
      </c>
      <c r="E128" s="230" t="s">
        <v>57</v>
      </c>
      <c r="F128" s="230" t="s">
        <v>195</v>
      </c>
    </row>
    <row r="129" spans="1:10">
      <c r="A129" s="740"/>
      <c r="B129" s="243" t="s">
        <v>511</v>
      </c>
      <c r="C129" s="229">
        <f>78.8/1000</f>
        <v>7.8799999999999995E-2</v>
      </c>
      <c r="D129" s="230" t="s">
        <v>410</v>
      </c>
      <c r="E129" s="230" t="s">
        <v>57</v>
      </c>
      <c r="F129" s="230" t="s">
        <v>195</v>
      </c>
    </row>
    <row r="130" spans="1:10">
      <c r="A130" s="740"/>
      <c r="B130" s="243" t="s">
        <v>512</v>
      </c>
      <c r="C130" s="229">
        <f>0.000000976*(332*240)</f>
        <v>7.7767680000000006E-2</v>
      </c>
      <c r="D130" s="230" t="s">
        <v>410</v>
      </c>
      <c r="E130" s="230" t="s">
        <v>57</v>
      </c>
      <c r="F130" s="230" t="s">
        <v>195</v>
      </c>
    </row>
    <row r="131" spans="1:10">
      <c r="A131" s="740"/>
      <c r="B131" s="230" t="s">
        <v>513</v>
      </c>
      <c r="C131" s="229">
        <f>0.000000976*(382*270)</f>
        <v>0.10066464</v>
      </c>
      <c r="D131" s="230" t="s">
        <v>410</v>
      </c>
      <c r="E131" s="230" t="s">
        <v>57</v>
      </c>
      <c r="F131" s="230" t="s">
        <v>195</v>
      </c>
    </row>
    <row r="132" spans="1:10">
      <c r="A132" s="740"/>
      <c r="B132" s="230" t="s">
        <v>714</v>
      </c>
      <c r="C132" s="326">
        <f>1.999/1000</f>
        <v>1.9989999999999999E-3</v>
      </c>
      <c r="D132" s="240" t="s">
        <v>506</v>
      </c>
      <c r="E132" s="230" t="s">
        <v>57</v>
      </c>
      <c r="F132" s="230" t="s">
        <v>195</v>
      </c>
    </row>
    <row r="133" spans="1:10">
      <c r="A133" s="22"/>
    </row>
    <row r="134" spans="1:10">
      <c r="A134" s="22" t="s">
        <v>991</v>
      </c>
    </row>
    <row r="135" spans="1:10" s="241" customFormat="1">
      <c r="A135" s="247" t="s">
        <v>19</v>
      </c>
      <c r="B135" s="218" t="s">
        <v>22</v>
      </c>
      <c r="C135" s="219" t="s">
        <v>8</v>
      </c>
      <c r="D135" s="219" t="s">
        <v>15</v>
      </c>
      <c r="E135" s="247" t="s">
        <v>19</v>
      </c>
      <c r="F135" s="218" t="s">
        <v>139</v>
      </c>
      <c r="G135" s="238"/>
      <c r="H135" s="238"/>
    </row>
    <row r="136" spans="1:10">
      <c r="A136" s="734" t="s">
        <v>990</v>
      </c>
      <c r="B136" s="230" t="s">
        <v>153</v>
      </c>
      <c r="C136" s="230">
        <v>0</v>
      </c>
      <c r="D136" s="230" t="s">
        <v>518</v>
      </c>
      <c r="E136" s="230" t="s">
        <v>57</v>
      </c>
      <c r="F136" s="230" t="s">
        <v>195</v>
      </c>
      <c r="J136" s="22"/>
    </row>
    <row r="137" spans="1:10">
      <c r="A137" s="735"/>
      <c r="B137" s="243" t="s">
        <v>510</v>
      </c>
      <c r="C137" s="228">
        <f>5.27/1000</f>
        <v>5.2699999999999995E-3</v>
      </c>
      <c r="D137" s="230" t="s">
        <v>518</v>
      </c>
      <c r="E137" s="230" t="s">
        <v>57</v>
      </c>
      <c r="F137" s="230" t="s">
        <v>195</v>
      </c>
      <c r="J137" s="22"/>
    </row>
    <row r="138" spans="1:10">
      <c r="A138" s="735"/>
      <c r="B138" s="243" t="s">
        <v>511</v>
      </c>
      <c r="C138" s="228">
        <f>18.9/1000</f>
        <v>1.89E-2</v>
      </c>
      <c r="D138" s="230" t="s">
        <v>518</v>
      </c>
      <c r="E138" s="230" t="s">
        <v>57</v>
      </c>
      <c r="F138" s="230" t="s">
        <v>195</v>
      </c>
      <c r="J138" s="22"/>
    </row>
    <row r="139" spans="1:10">
      <c r="A139" s="735"/>
      <c r="B139" s="243" t="s">
        <v>512</v>
      </c>
      <c r="C139" s="228">
        <f>18.9/1000</f>
        <v>1.89E-2</v>
      </c>
      <c r="D139" s="230" t="s">
        <v>518</v>
      </c>
      <c r="E139" s="230" t="s">
        <v>57</v>
      </c>
      <c r="F139" s="230" t="s">
        <v>195</v>
      </c>
      <c r="G139" s="22">
        <f>332*240</f>
        <v>79680</v>
      </c>
      <c r="H139" s="22">
        <f>G140/G139</f>
        <v>1.2944277108433735</v>
      </c>
      <c r="J139" s="22"/>
    </row>
    <row r="140" spans="1:10">
      <c r="A140" s="735"/>
      <c r="B140" s="230" t="s">
        <v>513</v>
      </c>
      <c r="C140" s="246">
        <f>C139*H139</f>
        <v>2.4464683734939759E-2</v>
      </c>
      <c r="D140" s="230" t="s">
        <v>518</v>
      </c>
      <c r="E140" s="230" t="s">
        <v>57</v>
      </c>
      <c r="F140" s="230" t="s">
        <v>195</v>
      </c>
      <c r="G140" s="22">
        <f>382*270</f>
        <v>103140</v>
      </c>
      <c r="J140" s="22"/>
    </row>
    <row r="141" spans="1:10">
      <c r="A141" s="736"/>
      <c r="B141" s="230" t="s">
        <v>714</v>
      </c>
      <c r="C141" s="246">
        <v>0</v>
      </c>
      <c r="D141" s="230" t="s">
        <v>518</v>
      </c>
      <c r="E141" s="230" t="s">
        <v>57</v>
      </c>
      <c r="F141" s="230" t="s">
        <v>195</v>
      </c>
      <c r="G141" s="22" t="s">
        <v>994</v>
      </c>
      <c r="J141" s="22"/>
    </row>
    <row r="142" spans="1:10">
      <c r="A142" s="734" t="s">
        <v>993</v>
      </c>
      <c r="B142" s="230" t="s">
        <v>153</v>
      </c>
      <c r="C142" s="246">
        <v>0</v>
      </c>
      <c r="D142" s="230" t="s">
        <v>992</v>
      </c>
      <c r="E142" s="230" t="s">
        <v>57</v>
      </c>
      <c r="F142" s="230" t="s">
        <v>195</v>
      </c>
      <c r="J142" s="22"/>
    </row>
    <row r="143" spans="1:10">
      <c r="A143" s="735"/>
      <c r="B143" s="243" t="s">
        <v>510</v>
      </c>
      <c r="C143" s="246">
        <f>1.8/1000</f>
        <v>1.8E-3</v>
      </c>
      <c r="D143" s="230" t="s">
        <v>992</v>
      </c>
      <c r="E143" s="230" t="s">
        <v>57</v>
      </c>
      <c r="F143" s="230" t="s">
        <v>195</v>
      </c>
      <c r="J143" s="22"/>
    </row>
    <row r="144" spans="1:10">
      <c r="A144" s="735"/>
      <c r="B144" s="243" t="s">
        <v>511</v>
      </c>
      <c r="C144" s="246">
        <f>2.6/1000</f>
        <v>2.5999999999999999E-3</v>
      </c>
      <c r="D144" s="230" t="s">
        <v>992</v>
      </c>
      <c r="E144" s="230" t="s">
        <v>57</v>
      </c>
      <c r="F144" s="230" t="s">
        <v>195</v>
      </c>
      <c r="G144" s="22">
        <f>332*240</f>
        <v>79680</v>
      </c>
      <c r="J144" s="22"/>
    </row>
    <row r="145" spans="1:10">
      <c r="A145" s="735"/>
      <c r="B145" s="243" t="s">
        <v>512</v>
      </c>
      <c r="C145" s="246">
        <f>0.0000326*G144/1000</f>
        <v>2.5975679999999998E-3</v>
      </c>
      <c r="D145" s="230" t="s">
        <v>992</v>
      </c>
      <c r="E145" s="230" t="s">
        <v>57</v>
      </c>
      <c r="F145" s="230" t="s">
        <v>195</v>
      </c>
      <c r="G145" s="22">
        <f>382*270</f>
        <v>103140</v>
      </c>
      <c r="J145" s="22"/>
    </row>
    <row r="146" spans="1:10">
      <c r="A146" s="735"/>
      <c r="B146" s="243" t="s">
        <v>513</v>
      </c>
      <c r="C146" s="246">
        <v>3.3623640000000001E-3</v>
      </c>
      <c r="D146" s="230" t="s">
        <v>410</v>
      </c>
      <c r="E146" s="230" t="s">
        <v>57</v>
      </c>
      <c r="F146" s="230" t="s">
        <v>195</v>
      </c>
      <c r="J146" s="22"/>
    </row>
    <row r="147" spans="1:10">
      <c r="A147" s="736"/>
      <c r="B147" s="230" t="s">
        <v>1111</v>
      </c>
      <c r="C147" s="246">
        <v>0</v>
      </c>
      <c r="D147" s="230" t="s">
        <v>992</v>
      </c>
      <c r="E147" s="230" t="s">
        <v>57</v>
      </c>
      <c r="F147" s="230" t="s">
        <v>195</v>
      </c>
      <c r="J147" s="22"/>
    </row>
    <row r="148" spans="1:10">
      <c r="A148" s="416"/>
      <c r="B148" s="238"/>
      <c r="C148" s="459"/>
      <c r="D148" s="238"/>
      <c r="E148" s="238"/>
      <c r="F148" s="238"/>
      <c r="J148" s="22"/>
    </row>
    <row r="149" spans="1:10">
      <c r="A149" s="22"/>
      <c r="G149" s="238"/>
    </row>
    <row r="150" spans="1:10">
      <c r="A150" s="22" t="s">
        <v>588</v>
      </c>
    </row>
    <row r="151" spans="1:10" s="241" customFormat="1">
      <c r="A151" s="247" t="s">
        <v>19</v>
      </c>
      <c r="B151" s="218" t="s">
        <v>22</v>
      </c>
      <c r="C151" s="219" t="s">
        <v>8</v>
      </c>
      <c r="D151" s="219" t="s">
        <v>15</v>
      </c>
      <c r="E151" s="247" t="s">
        <v>19</v>
      </c>
      <c r="F151" s="218" t="s">
        <v>139</v>
      </c>
      <c r="G151" s="247" t="s">
        <v>945</v>
      </c>
      <c r="H151" s="238"/>
    </row>
    <row r="152" spans="1:10">
      <c r="A152" s="734" t="s">
        <v>558</v>
      </c>
      <c r="B152" s="230" t="s">
        <v>943</v>
      </c>
      <c r="C152" s="228">
        <f>C164*G152</f>
        <v>1.694E-3</v>
      </c>
      <c r="D152" s="230" t="s">
        <v>589</v>
      </c>
      <c r="E152" s="230" t="s">
        <v>57</v>
      </c>
      <c r="F152" s="230" t="s">
        <v>935</v>
      </c>
      <c r="G152" s="454">
        <f>G153*2</f>
        <v>1.1000000000000001</v>
      </c>
      <c r="H152" s="447">
        <f>G152*C164</f>
        <v>1.694E-3</v>
      </c>
      <c r="J152" s="22"/>
    </row>
    <row r="153" spans="1:10">
      <c r="A153" s="735"/>
      <c r="B153" s="230" t="s">
        <v>368</v>
      </c>
      <c r="C153" s="228">
        <v>8.4500000000000005E-4</v>
      </c>
      <c r="D153" s="230" t="s">
        <v>589</v>
      </c>
      <c r="E153" s="230" t="s">
        <v>57</v>
      </c>
      <c r="F153" s="230" t="s">
        <v>195</v>
      </c>
      <c r="G153" s="454">
        <f>0.625*0.88</f>
        <v>0.55000000000000004</v>
      </c>
      <c r="J153" s="22"/>
    </row>
    <row r="154" spans="1:10">
      <c r="A154" s="735"/>
      <c r="B154" s="230" t="s">
        <v>369</v>
      </c>
      <c r="C154" s="228">
        <v>4.2200000000000001E-4</v>
      </c>
      <c r="D154" s="230" t="s">
        <v>589</v>
      </c>
      <c r="E154" s="230" t="s">
        <v>57</v>
      </c>
      <c r="F154" s="230" t="s">
        <v>195</v>
      </c>
      <c r="G154" s="454">
        <f>0.625*0.44</f>
        <v>0.27500000000000002</v>
      </c>
    </row>
    <row r="155" spans="1:10">
      <c r="A155" s="735"/>
      <c r="B155" s="230" t="s">
        <v>932</v>
      </c>
      <c r="C155" s="228">
        <f>G155*C164</f>
        <v>1.2782384999999999E-3</v>
      </c>
      <c r="D155" s="230" t="s">
        <v>589</v>
      </c>
      <c r="E155" s="230" t="s">
        <v>57</v>
      </c>
      <c r="F155" s="230" t="s">
        <v>935</v>
      </c>
      <c r="G155" s="454">
        <f>0.765*1.085</f>
        <v>0.83002500000000001</v>
      </c>
    </row>
    <row r="156" spans="1:10">
      <c r="A156" s="735"/>
      <c r="B156" s="230" t="s">
        <v>933</v>
      </c>
      <c r="C156" s="228">
        <f>G156*C164</f>
        <v>6.3911924999999993E-4</v>
      </c>
      <c r="D156" s="230" t="s">
        <v>589</v>
      </c>
      <c r="E156" s="230" t="s">
        <v>57</v>
      </c>
      <c r="F156" s="230" t="s">
        <v>935</v>
      </c>
      <c r="G156" s="454">
        <f>G114/2</f>
        <v>0.41501250000000001</v>
      </c>
    </row>
    <row r="157" spans="1:10">
      <c r="A157" s="735"/>
      <c r="B157" s="230" t="s">
        <v>370</v>
      </c>
      <c r="C157" s="228">
        <v>9.1699999999999995E-4</v>
      </c>
      <c r="D157" s="230" t="s">
        <v>589</v>
      </c>
      <c r="E157" s="230" t="s">
        <v>57</v>
      </c>
      <c r="F157" s="230" t="s">
        <v>195</v>
      </c>
      <c r="G157" s="454">
        <f>0.636*0.939</f>
        <v>0.59720399999999996</v>
      </c>
    </row>
    <row r="158" spans="1:10">
      <c r="A158" s="735"/>
      <c r="B158" s="230" t="s">
        <v>371</v>
      </c>
      <c r="C158" s="228">
        <v>4.5800000000000002E-4</v>
      </c>
      <c r="D158" s="230" t="s">
        <v>589</v>
      </c>
      <c r="E158" s="230" t="s">
        <v>57</v>
      </c>
      <c r="F158" s="230" t="s">
        <v>195</v>
      </c>
      <c r="G158" s="454">
        <f>G157/2</f>
        <v>0.29860199999999998</v>
      </c>
    </row>
    <row r="159" spans="1:10">
      <c r="A159" s="735"/>
      <c r="B159" s="230" t="s">
        <v>372</v>
      </c>
      <c r="C159" s="228">
        <v>2.2900000000000001E-4</v>
      </c>
      <c r="D159" s="230" t="s">
        <v>589</v>
      </c>
      <c r="E159" s="230" t="s">
        <v>57</v>
      </c>
      <c r="F159" s="230" t="s">
        <v>195</v>
      </c>
      <c r="G159" s="454">
        <f>G157/4</f>
        <v>0.14930099999999999</v>
      </c>
      <c r="J159" s="22"/>
    </row>
    <row r="160" spans="1:10">
      <c r="A160" s="735"/>
      <c r="B160" s="230" t="s">
        <v>373</v>
      </c>
      <c r="C160" s="228">
        <v>1.32E-3</v>
      </c>
      <c r="D160" s="230" t="s">
        <v>589</v>
      </c>
      <c r="E160" s="230" t="s">
        <v>57</v>
      </c>
      <c r="F160" s="230" t="s">
        <v>195</v>
      </c>
      <c r="G160" s="454">
        <f>1.091*0.788</f>
        <v>0.85970800000000003</v>
      </c>
      <c r="J160" s="22"/>
    </row>
    <row r="161" spans="1:10">
      <c r="A161" s="735"/>
      <c r="B161" s="230" t="s">
        <v>1330</v>
      </c>
      <c r="C161" s="228">
        <v>6.6E-4</v>
      </c>
      <c r="D161" s="230" t="s">
        <v>589</v>
      </c>
      <c r="E161" s="230" t="s">
        <v>57</v>
      </c>
      <c r="F161" s="230" t="s">
        <v>195</v>
      </c>
      <c r="G161" s="454">
        <f>0.788*0.545</f>
        <v>0.42946000000000006</v>
      </c>
      <c r="J161" s="22"/>
    </row>
    <row r="162" spans="1:10">
      <c r="A162" s="735"/>
      <c r="B162" s="230" t="s">
        <v>374</v>
      </c>
      <c r="C162" s="228">
        <v>3.3E-4</v>
      </c>
      <c r="D162" s="230" t="s">
        <v>589</v>
      </c>
      <c r="E162" s="230" t="s">
        <v>57</v>
      </c>
      <c r="F162" s="230" t="s">
        <v>195</v>
      </c>
      <c r="G162" s="454">
        <f>0.329*0.483</f>
        <v>0.15890699999999999</v>
      </c>
      <c r="J162" s="22"/>
    </row>
    <row r="163" spans="1:10">
      <c r="A163" s="735"/>
      <c r="B163" s="230" t="s">
        <v>942</v>
      </c>
      <c r="C163" s="228">
        <f>G163*C164</f>
        <v>2.4471677999999999E-4</v>
      </c>
      <c r="D163" s="230" t="s">
        <v>944</v>
      </c>
      <c r="E163" s="230" t="s">
        <v>57</v>
      </c>
      <c r="F163" s="230" t="s">
        <v>935</v>
      </c>
      <c r="G163" s="454">
        <v>0.15890699999999999</v>
      </c>
      <c r="J163" s="22"/>
    </row>
    <row r="164" spans="1:10">
      <c r="A164" s="736"/>
      <c r="B164" s="230" t="s">
        <v>1122</v>
      </c>
      <c r="C164" s="228">
        <v>1.5399999999999999E-3</v>
      </c>
      <c r="D164" s="230" t="s">
        <v>941</v>
      </c>
      <c r="E164" s="230" t="s">
        <v>57</v>
      </c>
      <c r="F164" s="230" t="s">
        <v>195</v>
      </c>
      <c r="G164" s="454">
        <v>1</v>
      </c>
      <c r="J164" s="22"/>
    </row>
    <row r="165" spans="1:10">
      <c r="J165" s="22"/>
    </row>
    <row r="166" spans="1:10">
      <c r="A166" s="239" t="s">
        <v>664</v>
      </c>
    </row>
    <row r="167" spans="1:10">
      <c r="A167" s="247" t="s">
        <v>19</v>
      </c>
      <c r="B167" s="218" t="s">
        <v>668</v>
      </c>
    </row>
    <row r="168" spans="1:10">
      <c r="A168" s="230" t="s">
        <v>69</v>
      </c>
      <c r="B168" s="232" t="s">
        <v>655</v>
      </c>
    </row>
    <row r="169" spans="1:10">
      <c r="A169" s="230" t="s">
        <v>94</v>
      </c>
      <c r="B169" s="232" t="s">
        <v>656</v>
      </c>
    </row>
    <row r="170" spans="1:10">
      <c r="A170" s="230" t="s">
        <v>57</v>
      </c>
      <c r="B170" s="232" t="s">
        <v>657</v>
      </c>
    </row>
    <row r="171" spans="1:10">
      <c r="A171" s="22"/>
      <c r="B171" s="11"/>
    </row>
    <row r="172" spans="1:10">
      <c r="A172" s="327" t="s">
        <v>735</v>
      </c>
      <c r="I172" s="11"/>
    </row>
    <row r="173" spans="1:10">
      <c r="A173" s="328"/>
      <c r="B173" s="328" t="s">
        <v>746</v>
      </c>
      <c r="C173" s="328" t="s">
        <v>747</v>
      </c>
      <c r="D173" s="452" t="s">
        <v>945</v>
      </c>
      <c r="I173" s="11"/>
    </row>
    <row r="174" spans="1:10">
      <c r="A174" s="240" t="s">
        <v>737</v>
      </c>
      <c r="B174" s="230">
        <v>728</v>
      </c>
      <c r="C174" s="230">
        <v>515</v>
      </c>
      <c r="D174" s="230">
        <f>B174/1000*C174/1000</f>
        <v>0.37492000000000003</v>
      </c>
      <c r="I174" s="11"/>
    </row>
    <row r="175" spans="1:10">
      <c r="A175" s="240" t="s">
        <v>738</v>
      </c>
      <c r="B175" s="230">
        <v>515</v>
      </c>
      <c r="C175" s="230">
        <v>364</v>
      </c>
      <c r="D175" s="230">
        <f t="shared" ref="D175:D183" si="0">B175/1000*C175/1000</f>
        <v>0.18746000000000002</v>
      </c>
      <c r="I175" s="11"/>
    </row>
    <row r="176" spans="1:10">
      <c r="A176" s="240" t="s">
        <v>739</v>
      </c>
      <c r="B176" s="230">
        <v>364</v>
      </c>
      <c r="C176" s="230">
        <v>257</v>
      </c>
      <c r="D176" s="230">
        <f t="shared" si="0"/>
        <v>9.3548000000000006E-2</v>
      </c>
      <c r="I176" s="11"/>
    </row>
    <row r="177" spans="1:9">
      <c r="A177" s="240" t="s">
        <v>740</v>
      </c>
      <c r="B177" s="230">
        <v>257</v>
      </c>
      <c r="C177" s="230">
        <v>182</v>
      </c>
      <c r="D177" s="230">
        <f t="shared" si="0"/>
        <v>4.6774000000000003E-2</v>
      </c>
      <c r="I177" s="11"/>
    </row>
    <row r="178" spans="1:9">
      <c r="A178" s="240" t="s">
        <v>736</v>
      </c>
      <c r="B178" s="230">
        <v>182</v>
      </c>
      <c r="C178" s="230">
        <v>128</v>
      </c>
      <c r="D178" s="230">
        <f t="shared" si="0"/>
        <v>2.3296000000000001E-2</v>
      </c>
      <c r="I178" s="11"/>
    </row>
    <row r="179" spans="1:9">
      <c r="A179" s="240" t="s">
        <v>741</v>
      </c>
      <c r="B179" s="230">
        <v>594</v>
      </c>
      <c r="C179" s="230">
        <v>420</v>
      </c>
      <c r="D179" s="230">
        <f t="shared" si="0"/>
        <v>0.24947999999999998</v>
      </c>
      <c r="I179" s="11"/>
    </row>
    <row r="180" spans="1:9">
      <c r="A180" s="240" t="s">
        <v>742</v>
      </c>
      <c r="B180" s="230">
        <v>420</v>
      </c>
      <c r="C180" s="230">
        <v>297</v>
      </c>
      <c r="D180" s="230">
        <f t="shared" si="0"/>
        <v>0.12473999999999999</v>
      </c>
      <c r="I180" s="11"/>
    </row>
    <row r="181" spans="1:9">
      <c r="A181" s="240" t="s">
        <v>743</v>
      </c>
      <c r="B181" s="230">
        <v>297</v>
      </c>
      <c r="C181" s="230">
        <v>210</v>
      </c>
      <c r="D181" s="230">
        <f t="shared" si="0"/>
        <v>6.2369999999999995E-2</v>
      </c>
      <c r="I181" s="11"/>
    </row>
    <row r="182" spans="1:9">
      <c r="A182" s="240" t="s">
        <v>744</v>
      </c>
      <c r="B182" s="230">
        <v>210</v>
      </c>
      <c r="C182" s="230">
        <v>148</v>
      </c>
      <c r="D182" s="230">
        <f t="shared" si="0"/>
        <v>3.108E-2</v>
      </c>
      <c r="I182" s="11"/>
    </row>
    <row r="183" spans="1:9">
      <c r="A183" s="240" t="s">
        <v>745</v>
      </c>
      <c r="B183" s="230">
        <v>148</v>
      </c>
      <c r="C183" s="230">
        <v>105</v>
      </c>
      <c r="D183" s="230">
        <f t="shared" si="0"/>
        <v>1.554E-2</v>
      </c>
      <c r="I183" s="11"/>
    </row>
    <row r="184" spans="1:9">
      <c r="A184" s="240" t="s">
        <v>774</v>
      </c>
      <c r="B184" s="230">
        <f>個別製品情報入力シート!D17</f>
        <v>182</v>
      </c>
      <c r="C184" s="453">
        <f>個別製品情報入力シート!E17</f>
        <v>128</v>
      </c>
      <c r="D184" s="230">
        <f t="shared" ref="D184" si="1">B184/1000*C184/1000</f>
        <v>2.3296000000000001E-2</v>
      </c>
      <c r="I184" s="11"/>
    </row>
    <row r="185" spans="1:9">
      <c r="I185" s="11"/>
    </row>
  </sheetData>
  <mergeCells count="28">
    <mergeCell ref="A4:A5"/>
    <mergeCell ref="A9:A33"/>
    <mergeCell ref="D37:I37"/>
    <mergeCell ref="D39:D51"/>
    <mergeCell ref="C39:C51"/>
    <mergeCell ref="B39:B51"/>
    <mergeCell ref="E39:E50"/>
    <mergeCell ref="A38:A51"/>
    <mergeCell ref="A35:B35"/>
    <mergeCell ref="C52:C53"/>
    <mergeCell ref="C59:C61"/>
    <mergeCell ref="B52:B53"/>
    <mergeCell ref="A55:A63"/>
    <mergeCell ref="A86:A90"/>
    <mergeCell ref="B86:B89"/>
    <mergeCell ref="A52:A53"/>
    <mergeCell ref="A152:A164"/>
    <mergeCell ref="B58:B61"/>
    <mergeCell ref="A136:A141"/>
    <mergeCell ref="A127:A132"/>
    <mergeCell ref="A142:A147"/>
    <mergeCell ref="B91:B96"/>
    <mergeCell ref="A82:A85"/>
    <mergeCell ref="A91:A103"/>
    <mergeCell ref="A111:A123"/>
    <mergeCell ref="B98:B103"/>
    <mergeCell ref="A104:A105"/>
    <mergeCell ref="B105:C105"/>
  </mergeCells>
  <phoneticPr fontId="10"/>
  <pageMargins left="0.7" right="0.7" top="0.75" bottom="0.75" header="0.3" footer="0.3"/>
  <pageSetup paperSize="9" scale="9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80"/>
  <sheetViews>
    <sheetView view="pageBreakPreview" topLeftCell="A79" zoomScale="115" zoomScaleNormal="100" zoomScaleSheetLayoutView="115" workbookViewId="0">
      <selection activeCell="G61" sqref="G61"/>
    </sheetView>
  </sheetViews>
  <sheetFormatPr defaultRowHeight="13.5"/>
  <cols>
    <col min="1" max="1" width="9" style="150"/>
    <col min="2" max="2" width="67.625" style="150" customWidth="1"/>
    <col min="3" max="16384" width="9" style="150"/>
  </cols>
  <sheetData>
    <row r="1" spans="1:3" s="11" customFormat="1" ht="21">
      <c r="A1" s="759" t="s">
        <v>126</v>
      </c>
      <c r="B1" s="759"/>
      <c r="C1" s="759"/>
    </row>
    <row r="2" spans="1:3" s="11" customFormat="1" ht="21">
      <c r="A2" s="759" t="s">
        <v>1136</v>
      </c>
      <c r="B2" s="759"/>
      <c r="C2" s="759"/>
    </row>
    <row r="3" spans="1:3" s="11" customFormat="1">
      <c r="A3" s="162"/>
    </row>
    <row r="4" spans="1:3" s="11" customFormat="1" ht="60" customHeight="1">
      <c r="A4" s="760" t="s">
        <v>1264</v>
      </c>
      <c r="B4" s="760"/>
      <c r="C4" s="760"/>
    </row>
    <row r="5" spans="1:3" s="11" customFormat="1">
      <c r="A5" s="162"/>
    </row>
    <row r="6" spans="1:3" s="11" customFormat="1" ht="44.25" customHeight="1">
      <c r="A6" s="760" t="s">
        <v>1137</v>
      </c>
      <c r="B6" s="760"/>
      <c r="C6" s="760"/>
    </row>
    <row r="7" spans="1:3" s="11" customFormat="1" ht="14.25" customHeight="1">
      <c r="A7" s="659"/>
      <c r="B7" s="659"/>
      <c r="C7" s="659"/>
    </row>
    <row r="8" spans="1:3" ht="14.25" thickBot="1">
      <c r="A8" s="152" t="s">
        <v>1138</v>
      </c>
    </row>
    <row r="9" spans="1:3" ht="18.75" customHeight="1" thickBot="1">
      <c r="A9" s="153" t="s">
        <v>117</v>
      </c>
      <c r="B9" s="154" t="s">
        <v>118</v>
      </c>
      <c r="C9" s="154" t="s">
        <v>121</v>
      </c>
    </row>
    <row r="10" spans="1:3" ht="24" customHeight="1" thickTop="1">
      <c r="A10" s="761" t="s">
        <v>1254</v>
      </c>
      <c r="B10" s="168" t="s">
        <v>1162</v>
      </c>
      <c r="C10" s="763" t="s">
        <v>146</v>
      </c>
    </row>
    <row r="11" spans="1:3" ht="117.75" customHeight="1" thickBot="1">
      <c r="A11" s="768"/>
      <c r="B11" s="156" t="s">
        <v>1163</v>
      </c>
      <c r="C11" s="765"/>
    </row>
    <row r="12" spans="1:3" ht="37.5" customHeight="1">
      <c r="A12" s="762" t="s">
        <v>122</v>
      </c>
      <c r="B12" s="155" t="s">
        <v>1140</v>
      </c>
      <c r="C12" s="764" t="s">
        <v>146</v>
      </c>
    </row>
    <row r="13" spans="1:3" ht="60" customHeight="1" thickBot="1">
      <c r="A13" s="762"/>
      <c r="B13" s="155" t="s">
        <v>1255</v>
      </c>
      <c r="C13" s="764"/>
    </row>
    <row r="14" spans="1:3" ht="37.5" customHeight="1" thickBot="1">
      <c r="A14" s="165" t="s">
        <v>1139</v>
      </c>
      <c r="B14" s="166" t="s">
        <v>1141</v>
      </c>
      <c r="C14" s="666" t="s">
        <v>146</v>
      </c>
    </row>
    <row r="15" spans="1:3" ht="37.5" customHeight="1">
      <c r="A15" s="762" t="s">
        <v>1142</v>
      </c>
      <c r="B15" s="155" t="s">
        <v>1144</v>
      </c>
      <c r="C15" s="764" t="s">
        <v>146</v>
      </c>
    </row>
    <row r="16" spans="1:3" ht="59.25" customHeight="1" thickBot="1">
      <c r="A16" s="768"/>
      <c r="B16" s="156" t="s">
        <v>1256</v>
      </c>
      <c r="C16" s="765"/>
    </row>
    <row r="17" spans="1:4">
      <c r="A17" s="762" t="s">
        <v>1145</v>
      </c>
      <c r="B17" s="155" t="s">
        <v>1146</v>
      </c>
      <c r="C17" s="764" t="s">
        <v>146</v>
      </c>
    </row>
    <row r="18" spans="1:4" ht="39" customHeight="1" thickBot="1">
      <c r="A18" s="768"/>
      <c r="B18" s="156" t="s">
        <v>1164</v>
      </c>
      <c r="C18" s="765"/>
    </row>
    <row r="19" spans="1:4">
      <c r="A19" s="766" t="s">
        <v>1152</v>
      </c>
      <c r="B19" s="169" t="s">
        <v>1175</v>
      </c>
      <c r="C19" s="767" t="s">
        <v>146</v>
      </c>
    </row>
    <row r="20" spans="1:4" ht="46.5" customHeight="1">
      <c r="A20" s="762"/>
      <c r="B20" s="578" t="s">
        <v>1165</v>
      </c>
      <c r="C20" s="764"/>
    </row>
    <row r="21" spans="1:4" ht="45.75" customHeight="1" thickBot="1">
      <c r="A21" s="577"/>
      <c r="B21" s="578" t="s">
        <v>1188</v>
      </c>
      <c r="C21" s="667"/>
    </row>
    <row r="22" spans="1:4" ht="37.5" customHeight="1">
      <c r="A22" s="766" t="s">
        <v>1153</v>
      </c>
      <c r="B22" s="169" t="s">
        <v>1143</v>
      </c>
      <c r="C22" s="767" t="s">
        <v>146</v>
      </c>
    </row>
    <row r="23" spans="1:4" ht="55.5" customHeight="1" thickBot="1">
      <c r="A23" s="762"/>
      <c r="B23" s="155" t="s">
        <v>1187</v>
      </c>
      <c r="C23" s="764"/>
    </row>
    <row r="24" spans="1:4">
      <c r="A24" s="769" t="s">
        <v>1194</v>
      </c>
      <c r="B24" s="609" t="str">
        <f>IF(COUNTIF('(5)データの根拠'!L58:L62,"×")&gt;0,"ページの配置数エラー。再確認をお願いします。","ページの配置数チェックOK")</f>
        <v>ページの配置数チェックOK</v>
      </c>
      <c r="C24" s="607" t="str">
        <f>IF(B24="ページの配置数チェックOK","確認済","未確認")</f>
        <v>確認済</v>
      </c>
    </row>
    <row r="25" spans="1:4">
      <c r="A25" s="770"/>
      <c r="B25" s="610" t="e">
        <f>IF('(5)データの根拠'!L56&lt;'(5)データの根拠'!L55,"製品重量エラー　紙サイズの再確認をお願いします。　","製品重量チェックOK")</f>
        <v>#NUM!</v>
      </c>
      <c r="C25" s="612" t="e">
        <f>IF(B25="製品重量チェックOK","確認済","未確認")</f>
        <v>#NUM!</v>
      </c>
    </row>
    <row r="26" spans="1:4" ht="14.25" thickBot="1">
      <c r="A26" s="771"/>
      <c r="B26" s="611"/>
      <c r="C26" s="608"/>
    </row>
    <row r="27" spans="1:4" ht="27.75" customHeight="1">
      <c r="C27" s="151"/>
      <c r="D27" s="151"/>
    </row>
    <row r="28" spans="1:4" ht="14.25" thickBot="1">
      <c r="A28" s="152" t="s">
        <v>1303</v>
      </c>
    </row>
    <row r="29" spans="1:4" ht="18.75" customHeight="1" thickBot="1">
      <c r="A29" s="153" t="s">
        <v>117</v>
      </c>
      <c r="B29" s="154" t="s">
        <v>118</v>
      </c>
      <c r="C29" s="154" t="s">
        <v>121</v>
      </c>
    </row>
    <row r="30" spans="1:4" ht="37.5" customHeight="1" thickTop="1">
      <c r="A30" s="761" t="s">
        <v>1305</v>
      </c>
      <c r="B30" s="155" t="s">
        <v>119</v>
      </c>
      <c r="C30" s="763" t="s">
        <v>146</v>
      </c>
    </row>
    <row r="31" spans="1:4" ht="14.25" thickBot="1">
      <c r="A31" s="762"/>
      <c r="B31" s="155" t="s">
        <v>1147</v>
      </c>
      <c r="C31" s="764"/>
    </row>
    <row r="32" spans="1:4" ht="37.5" customHeight="1">
      <c r="A32" s="766" t="s">
        <v>1306</v>
      </c>
      <c r="B32" s="169" t="s">
        <v>1154</v>
      </c>
      <c r="C32" s="767" t="s">
        <v>146</v>
      </c>
    </row>
    <row r="33" spans="1:3" ht="14.25" thickBot="1">
      <c r="A33" s="768"/>
      <c r="B33" s="156" t="s">
        <v>1160</v>
      </c>
      <c r="C33" s="765"/>
    </row>
    <row r="34" spans="1:3">
      <c r="A34" s="582"/>
      <c r="B34" s="583"/>
      <c r="C34" s="584"/>
    </row>
    <row r="35" spans="1:3">
      <c r="A35" s="157"/>
    </row>
    <row r="36" spans="1:3" ht="14.25" thickBot="1">
      <c r="A36" s="158" t="s">
        <v>1304</v>
      </c>
    </row>
    <row r="37" spans="1:3" ht="18.75" customHeight="1" thickBot="1">
      <c r="A37" s="153" t="s">
        <v>117</v>
      </c>
      <c r="B37" s="154" t="s">
        <v>118</v>
      </c>
      <c r="C37" s="174" t="s">
        <v>121</v>
      </c>
    </row>
    <row r="38" spans="1:3" ht="18.75" customHeight="1" thickTop="1">
      <c r="A38" s="766" t="s">
        <v>1307</v>
      </c>
      <c r="B38" s="155" t="s">
        <v>1148</v>
      </c>
      <c r="C38" s="767" t="s">
        <v>147</v>
      </c>
    </row>
    <row r="39" spans="1:3" ht="41.25" customHeight="1" thickBot="1">
      <c r="A39" s="762"/>
      <c r="B39" s="159" t="s">
        <v>1149</v>
      </c>
      <c r="C39" s="765"/>
    </row>
    <row r="40" spans="1:3" ht="18.75" customHeight="1">
      <c r="A40" s="766" t="s">
        <v>1308</v>
      </c>
      <c r="B40" s="155" t="s">
        <v>1168</v>
      </c>
      <c r="C40" s="767" t="s">
        <v>147</v>
      </c>
    </row>
    <row r="41" spans="1:3" ht="54.75" customHeight="1" thickBot="1">
      <c r="A41" s="768"/>
      <c r="B41" s="156" t="s">
        <v>1169</v>
      </c>
      <c r="C41" s="765"/>
    </row>
    <row r="42" spans="1:3" ht="25.5" customHeight="1">
      <c r="A42" s="766" t="s">
        <v>1309</v>
      </c>
      <c r="B42" s="155" t="s">
        <v>1150</v>
      </c>
      <c r="C42" s="767" t="s">
        <v>147</v>
      </c>
    </row>
    <row r="43" spans="1:3" ht="73.5" customHeight="1" thickBot="1">
      <c r="A43" s="768"/>
      <c r="B43" s="156" t="s">
        <v>1257</v>
      </c>
      <c r="C43" s="765"/>
    </row>
    <row r="44" spans="1:3" ht="18.75" customHeight="1">
      <c r="A44" s="766" t="s">
        <v>1310</v>
      </c>
      <c r="B44" s="155" t="s">
        <v>1258</v>
      </c>
      <c r="C44" s="767" t="s">
        <v>147</v>
      </c>
    </row>
    <row r="45" spans="1:3" ht="81" customHeight="1" thickBot="1">
      <c r="A45" s="768"/>
      <c r="B45" s="156" t="s">
        <v>1259</v>
      </c>
      <c r="C45" s="765"/>
    </row>
    <row r="46" spans="1:3" ht="37.5" customHeight="1" thickBot="1">
      <c r="A46" s="560" t="s">
        <v>1311</v>
      </c>
      <c r="B46" s="156" t="s">
        <v>1260</v>
      </c>
      <c r="C46" s="668" t="s">
        <v>146</v>
      </c>
    </row>
    <row r="47" spans="1:3" ht="29.25" customHeight="1">
      <c r="A47" s="766" t="s">
        <v>1312</v>
      </c>
      <c r="B47" s="163" t="s">
        <v>1151</v>
      </c>
      <c r="C47" s="767" t="s">
        <v>146</v>
      </c>
    </row>
    <row r="48" spans="1:3" ht="54" customHeight="1" thickBot="1">
      <c r="A48" s="768"/>
      <c r="B48" s="164" t="s">
        <v>1261</v>
      </c>
      <c r="C48" s="765"/>
    </row>
    <row r="49" spans="1:3" ht="37.5" customHeight="1" thickBot="1">
      <c r="A49" s="165" t="s">
        <v>1313</v>
      </c>
      <c r="B49" s="166" t="s">
        <v>127</v>
      </c>
      <c r="C49" s="668" t="s">
        <v>146</v>
      </c>
    </row>
    <row r="50" spans="1:3" ht="37.5" customHeight="1">
      <c r="A50" s="766" t="s">
        <v>1314</v>
      </c>
      <c r="B50" s="155" t="s">
        <v>1156</v>
      </c>
      <c r="C50" s="767" t="s">
        <v>146</v>
      </c>
    </row>
    <row r="51" spans="1:3" ht="30.75" customHeight="1" thickBot="1">
      <c r="A51" s="768"/>
      <c r="B51" s="156" t="s">
        <v>1155</v>
      </c>
      <c r="C51" s="765"/>
    </row>
    <row r="52" spans="1:3" ht="30.75" customHeight="1">
      <c r="A52" s="766" t="s">
        <v>1315</v>
      </c>
      <c r="B52" s="155" t="s">
        <v>1157</v>
      </c>
      <c r="C52" s="767" t="s">
        <v>146</v>
      </c>
    </row>
    <row r="53" spans="1:3" ht="30.75" customHeight="1" thickBot="1">
      <c r="A53" s="768"/>
      <c r="B53" s="155" t="s">
        <v>1158</v>
      </c>
      <c r="C53" s="765"/>
    </row>
    <row r="54" spans="1:3" ht="30" customHeight="1">
      <c r="A54" s="766" t="s">
        <v>1316</v>
      </c>
      <c r="B54" s="163" t="s">
        <v>128</v>
      </c>
      <c r="C54" s="767" t="s">
        <v>146</v>
      </c>
    </row>
    <row r="55" spans="1:3" ht="30" customHeight="1" thickBot="1">
      <c r="A55" s="768"/>
      <c r="B55" s="159" t="s">
        <v>1196</v>
      </c>
      <c r="C55" s="765"/>
    </row>
    <row r="56" spans="1:3">
      <c r="A56" s="157"/>
      <c r="C56" s="167"/>
    </row>
    <row r="57" spans="1:3" ht="14.25" thickBot="1">
      <c r="A57" s="158" t="s">
        <v>135</v>
      </c>
    </row>
    <row r="58" spans="1:3" ht="18.75" customHeight="1" thickBot="1">
      <c r="A58" s="153" t="s">
        <v>117</v>
      </c>
      <c r="B58" s="154" t="s">
        <v>118</v>
      </c>
      <c r="C58" s="154" t="s">
        <v>121</v>
      </c>
    </row>
    <row r="59" spans="1:3" ht="18.75" customHeight="1" thickTop="1">
      <c r="A59" s="766" t="s">
        <v>1317</v>
      </c>
      <c r="B59" s="155" t="s">
        <v>1168</v>
      </c>
      <c r="C59" s="767" t="s">
        <v>147</v>
      </c>
    </row>
    <row r="60" spans="1:3" ht="37.5" customHeight="1" thickBot="1">
      <c r="A60" s="768"/>
      <c r="B60" s="156" t="s">
        <v>1161</v>
      </c>
      <c r="C60" s="765"/>
    </row>
    <row r="61" spans="1:3" ht="37.5" customHeight="1">
      <c r="A61" s="766" t="s">
        <v>148</v>
      </c>
      <c r="B61" s="169" t="s">
        <v>138</v>
      </c>
      <c r="C61" s="767" t="s">
        <v>147</v>
      </c>
    </row>
    <row r="62" spans="1:3" ht="37.5" customHeight="1" thickBot="1">
      <c r="A62" s="768"/>
      <c r="B62" s="156" t="s">
        <v>1262</v>
      </c>
      <c r="C62" s="765"/>
    </row>
    <row r="63" spans="1:3" ht="32.25" customHeight="1">
      <c r="A63" s="766" t="s">
        <v>136</v>
      </c>
      <c r="B63" s="163" t="s">
        <v>1186</v>
      </c>
      <c r="C63" s="767" t="s">
        <v>146</v>
      </c>
    </row>
    <row r="64" spans="1:3" ht="87.75" customHeight="1" thickBot="1">
      <c r="A64" s="768"/>
      <c r="B64" s="159" t="s">
        <v>1263</v>
      </c>
      <c r="C64" s="765"/>
    </row>
    <row r="65" spans="1:3" s="183" customFormat="1" ht="26.25" customHeight="1">
      <c r="A65" s="184"/>
      <c r="B65" s="185"/>
      <c r="C65" s="186"/>
    </row>
    <row r="66" spans="1:3" ht="14.25" thickBot="1">
      <c r="A66" s="158" t="s">
        <v>137</v>
      </c>
    </row>
    <row r="67" spans="1:3" ht="18.75" customHeight="1" thickBot="1">
      <c r="A67" s="153" t="s">
        <v>117</v>
      </c>
      <c r="B67" s="154" t="s">
        <v>118</v>
      </c>
      <c r="C67" s="154" t="s">
        <v>121</v>
      </c>
    </row>
    <row r="68" spans="1:3" ht="18.75" customHeight="1" thickTop="1">
      <c r="A68" s="766" t="s">
        <v>1318</v>
      </c>
      <c r="B68" s="155" t="s">
        <v>1168</v>
      </c>
      <c r="C68" s="767" t="s">
        <v>147</v>
      </c>
    </row>
    <row r="69" spans="1:3" ht="37.5" customHeight="1" thickBot="1">
      <c r="A69" s="768"/>
      <c r="B69" s="156" t="s">
        <v>1159</v>
      </c>
      <c r="C69" s="765"/>
    </row>
    <row r="70" spans="1:3" ht="37.5" customHeight="1">
      <c r="A70" s="766" t="s">
        <v>149</v>
      </c>
      <c r="B70" s="155" t="s">
        <v>123</v>
      </c>
      <c r="C70" s="767" t="s">
        <v>146</v>
      </c>
    </row>
    <row r="71" spans="1:3" ht="62.25" customHeight="1" thickBot="1">
      <c r="A71" s="768"/>
      <c r="B71" s="156" t="s">
        <v>140</v>
      </c>
      <c r="C71" s="765"/>
    </row>
    <row r="72" spans="1:3" ht="36.75" customHeight="1" thickBot="1">
      <c r="A72" s="560" t="s">
        <v>150</v>
      </c>
      <c r="B72" s="156" t="s">
        <v>120</v>
      </c>
      <c r="C72" s="669" t="s">
        <v>146</v>
      </c>
    </row>
    <row r="73" spans="1:3">
      <c r="A73" s="160"/>
      <c r="B73" s="772" t="str">
        <f>IF(C78=0,"全件チェックOK","チェック項目の再確認をお願いします。")</f>
        <v>チェック項目の再確認をお願いします。</v>
      </c>
      <c r="C73" s="773"/>
    </row>
    <row r="74" spans="1:3" ht="14.25" thickBot="1">
      <c r="A74" s="161"/>
      <c r="B74" s="774"/>
      <c r="C74" s="775"/>
    </row>
    <row r="76" spans="1:3">
      <c r="A76" s="150" t="s">
        <v>151</v>
      </c>
    </row>
    <row r="78" spans="1:3">
      <c r="B78" s="175" t="s">
        <v>152</v>
      </c>
      <c r="C78" s="150">
        <f>COUNTIF($C$10:$C$72,"未確認")</f>
        <v>25</v>
      </c>
    </row>
    <row r="79" spans="1:3">
      <c r="B79" s="175" t="s">
        <v>1195</v>
      </c>
      <c r="C79" s="150">
        <f>COUNTIF($C$10:$C$72,"確認済")</f>
        <v>1</v>
      </c>
    </row>
    <row r="80" spans="1:3">
      <c r="B80" s="175" t="s">
        <v>153</v>
      </c>
      <c r="C80" s="150">
        <f>COUNTIF($C$10:$C$72,"なし")</f>
        <v>0</v>
      </c>
    </row>
  </sheetData>
  <sheetProtection password="ED51" sheet="1" objects="1" scenarios="1"/>
  <mergeCells count="48">
    <mergeCell ref="A32:A33"/>
    <mergeCell ref="C32:C33"/>
    <mergeCell ref="A44:A45"/>
    <mergeCell ref="C44:C45"/>
    <mergeCell ref="A38:A39"/>
    <mergeCell ref="C38:C39"/>
    <mergeCell ref="A40:A41"/>
    <mergeCell ref="C40:C41"/>
    <mergeCell ref="A42:A43"/>
    <mergeCell ref="C42:C43"/>
    <mergeCell ref="A68:A69"/>
    <mergeCell ref="C68:C69"/>
    <mergeCell ref="A59:A60"/>
    <mergeCell ref="C59:C60"/>
    <mergeCell ref="A47:A48"/>
    <mergeCell ref="C47:C48"/>
    <mergeCell ref="A50:A51"/>
    <mergeCell ref="C50:C51"/>
    <mergeCell ref="A70:A71"/>
    <mergeCell ref="C70:C71"/>
    <mergeCell ref="B73:C74"/>
    <mergeCell ref="A10:A11"/>
    <mergeCell ref="C10:C11"/>
    <mergeCell ref="A12:A13"/>
    <mergeCell ref="C12:C13"/>
    <mergeCell ref="A15:A16"/>
    <mergeCell ref="A61:A62"/>
    <mergeCell ref="C61:C62"/>
    <mergeCell ref="A63:A64"/>
    <mergeCell ref="C63:C64"/>
    <mergeCell ref="A54:A55"/>
    <mergeCell ref="C54:C55"/>
    <mergeCell ref="A52:A53"/>
    <mergeCell ref="C52:C53"/>
    <mergeCell ref="A1:C1"/>
    <mergeCell ref="A2:C2"/>
    <mergeCell ref="A4:C4"/>
    <mergeCell ref="A6:C6"/>
    <mergeCell ref="A30:A31"/>
    <mergeCell ref="C30:C31"/>
    <mergeCell ref="C15:C16"/>
    <mergeCell ref="A22:A23"/>
    <mergeCell ref="C22:C23"/>
    <mergeCell ref="C19:C20"/>
    <mergeCell ref="A19:A20"/>
    <mergeCell ref="A17:A18"/>
    <mergeCell ref="C17:C18"/>
    <mergeCell ref="A24:A26"/>
  </mergeCells>
  <phoneticPr fontId="10"/>
  <dataValidations count="2">
    <dataValidation type="list" allowBlank="1" showInputMessage="1" showErrorMessage="1" sqref="C38:C55 C59:C64 C68:C72 C30:C34 C10:C23" xr:uid="{00000000-0002-0000-0400-000000000000}">
      <formula1>"確認済,未確認,なし"</formula1>
    </dataValidation>
    <dataValidation type="list" allowBlank="1" showInputMessage="1" showErrorMessage="1" sqref="C65" xr:uid="{00000000-0002-0000-0400-000001000000}">
      <formula1>"未確認,確認済"</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5"/>
  <sheetViews>
    <sheetView showGridLines="0" topLeftCell="A31" zoomScale="85" zoomScaleNormal="85" zoomScaleSheetLayoutView="85" workbookViewId="0">
      <selection activeCell="L10" sqref="L10"/>
    </sheetView>
  </sheetViews>
  <sheetFormatPr defaultRowHeight="13.5"/>
  <cols>
    <col min="1" max="1" width="22" style="31" customWidth="1"/>
    <col min="2" max="2" width="16.125" style="22" customWidth="1"/>
    <col min="3" max="3" width="14.75" style="22" customWidth="1"/>
    <col min="4" max="4" width="8" style="22" customWidth="1"/>
    <col min="5" max="5" width="12.375" style="22" customWidth="1"/>
    <col min="6" max="6" width="7.375" style="22" customWidth="1"/>
    <col min="7" max="7" width="14.875" style="22" customWidth="1"/>
    <col min="8" max="8" width="8.625" style="11" customWidth="1"/>
    <col min="9" max="16384" width="9" style="11"/>
  </cols>
  <sheetData>
    <row r="1" spans="1:8" ht="8.25" customHeight="1"/>
    <row r="2" spans="1:8" ht="21" customHeight="1">
      <c r="A2" s="781" t="s">
        <v>116</v>
      </c>
      <c r="B2" s="781"/>
      <c r="C2" s="781"/>
      <c r="D2" s="781"/>
      <c r="E2" s="781"/>
      <c r="F2" s="781"/>
      <c r="G2" s="781"/>
      <c r="H2" s="781"/>
    </row>
    <row r="3" spans="1:8" s="3" customFormat="1" ht="21" customHeight="1">
      <c r="A3" s="781" t="s">
        <v>58</v>
      </c>
      <c r="B3" s="781"/>
      <c r="C3" s="781"/>
      <c r="D3" s="781"/>
      <c r="E3" s="781"/>
      <c r="F3" s="781"/>
      <c r="G3" s="781"/>
      <c r="H3" s="781"/>
    </row>
    <row r="4" spans="1:8" s="3" customFormat="1" ht="5.25" customHeight="1">
      <c r="A4" s="121"/>
      <c r="B4" s="121"/>
      <c r="C4" s="121"/>
      <c r="D4" s="121"/>
      <c r="E4" s="121"/>
      <c r="F4" s="121"/>
      <c r="G4" s="121"/>
      <c r="H4" s="121"/>
    </row>
    <row r="5" spans="1:8" s="3" customFormat="1" ht="15.75" customHeight="1">
      <c r="A5" s="782" t="s">
        <v>89</v>
      </c>
      <c r="B5" s="782"/>
      <c r="C5" s="782"/>
      <c r="D5" s="782"/>
      <c r="E5" s="782"/>
      <c r="F5" s="782"/>
      <c r="G5" s="782"/>
      <c r="H5" s="782"/>
    </row>
    <row r="6" spans="1:8" s="3" customFormat="1" ht="4.5" customHeight="1" thickBot="1">
      <c r="A6" s="132"/>
      <c r="B6" s="132"/>
      <c r="C6" s="132"/>
      <c r="D6" s="132"/>
      <c r="E6" s="132"/>
      <c r="F6" s="132"/>
      <c r="G6" s="132"/>
      <c r="H6" s="132"/>
    </row>
    <row r="7" spans="1:8" s="3" customFormat="1" ht="30" customHeight="1" thickBot="1">
      <c r="A7" s="171" t="s">
        <v>142</v>
      </c>
      <c r="B7" s="123" t="s">
        <v>0</v>
      </c>
      <c r="C7" s="148"/>
      <c r="D7" s="173" t="s">
        <v>1</v>
      </c>
      <c r="E7" s="148"/>
      <c r="F7" s="173" t="s">
        <v>7</v>
      </c>
      <c r="G7" s="148"/>
      <c r="H7" s="149" t="s">
        <v>141</v>
      </c>
    </row>
    <row r="8" spans="1:8" s="127" customFormat="1" ht="13.5" customHeight="1" thickBot="1">
      <c r="A8" s="124"/>
      <c r="B8" s="125"/>
      <c r="C8" s="125"/>
      <c r="D8" s="125"/>
      <c r="E8" s="125"/>
      <c r="F8" s="125"/>
      <c r="G8" s="126"/>
      <c r="H8" s="125"/>
    </row>
    <row r="9" spans="1:8" ht="16.5" customHeight="1">
      <c r="A9" s="783" t="s">
        <v>2</v>
      </c>
      <c r="B9" s="784"/>
      <c r="C9" s="784"/>
      <c r="D9" s="784"/>
      <c r="E9" s="784"/>
      <c r="F9" s="784"/>
      <c r="G9" s="784"/>
      <c r="H9" s="785"/>
    </row>
    <row r="10" spans="1:8" ht="14.25" customHeight="1">
      <c r="A10" s="140" t="s">
        <v>110</v>
      </c>
      <c r="B10" s="786">
        <f>個別製品情報入力シート!G4</f>
        <v>0</v>
      </c>
      <c r="C10" s="787"/>
      <c r="D10" s="787"/>
      <c r="E10" s="787"/>
      <c r="F10" s="787"/>
      <c r="G10" s="787"/>
      <c r="H10" s="788"/>
    </row>
    <row r="11" spans="1:8" ht="21" customHeight="1">
      <c r="A11" s="141" t="s">
        <v>156</v>
      </c>
      <c r="B11" s="789">
        <f>個別製品情報入力シート!C4</f>
        <v>0</v>
      </c>
      <c r="C11" s="790"/>
      <c r="D11" s="790"/>
      <c r="E11" s="790"/>
      <c r="F11" s="790"/>
      <c r="G11" s="790"/>
      <c r="H11" s="791"/>
    </row>
    <row r="12" spans="1:8" ht="21" customHeight="1">
      <c r="A12" s="142" t="s">
        <v>3</v>
      </c>
      <c r="B12" s="792">
        <f>個別製品情報入力シート!C6</f>
        <v>0</v>
      </c>
      <c r="C12" s="793"/>
      <c r="D12" s="793"/>
      <c r="E12" s="793"/>
      <c r="F12" s="793"/>
      <c r="G12" s="793"/>
      <c r="H12" s="794"/>
    </row>
    <row r="13" spans="1:8" ht="21" customHeight="1">
      <c r="A13" s="142" t="s">
        <v>4</v>
      </c>
      <c r="B13" s="792">
        <f>個別製品情報入力シート!G6</f>
        <v>0</v>
      </c>
      <c r="C13" s="793"/>
      <c r="D13" s="793"/>
      <c r="E13" s="793"/>
      <c r="F13" s="793"/>
      <c r="G13" s="793"/>
      <c r="H13" s="794"/>
    </row>
    <row r="14" spans="1:8" ht="14.25" customHeight="1">
      <c r="A14" s="143" t="s">
        <v>110</v>
      </c>
      <c r="B14" s="144" t="s">
        <v>110</v>
      </c>
      <c r="C14" s="795">
        <f>個別製品情報入力シート!G7</f>
        <v>0</v>
      </c>
      <c r="D14" s="796"/>
      <c r="E14" s="797" t="s">
        <v>110</v>
      </c>
      <c r="F14" s="798"/>
      <c r="G14" s="795">
        <f>個別製品情報入力シート!H7</f>
        <v>0</v>
      </c>
      <c r="H14" s="799"/>
    </row>
    <row r="15" spans="1:8" ht="21" customHeight="1">
      <c r="A15" s="122" t="s">
        <v>6</v>
      </c>
      <c r="B15" s="145" t="s">
        <v>60</v>
      </c>
      <c r="C15" s="776">
        <f>個別製品情報入力シート!C7</f>
        <v>0</v>
      </c>
      <c r="D15" s="777"/>
      <c r="E15" s="778" t="s">
        <v>61</v>
      </c>
      <c r="F15" s="779"/>
      <c r="G15" s="776">
        <f>個別製品情報入力シート!D7</f>
        <v>0</v>
      </c>
      <c r="H15" s="780"/>
    </row>
    <row r="16" spans="1:8" ht="21" customHeight="1">
      <c r="A16" s="142" t="s">
        <v>111</v>
      </c>
      <c r="B16" s="800">
        <f>個別製品情報入力シート!C9</f>
        <v>0</v>
      </c>
      <c r="C16" s="793"/>
      <c r="D16" s="793"/>
      <c r="E16" s="793"/>
      <c r="F16" s="793"/>
      <c r="G16" s="793"/>
      <c r="H16" s="794"/>
    </row>
    <row r="17" spans="1:8" ht="21" customHeight="1">
      <c r="A17" s="142" t="s">
        <v>112</v>
      </c>
      <c r="B17" s="792">
        <f>個別製品情報入力シート!C8</f>
        <v>0</v>
      </c>
      <c r="C17" s="793"/>
      <c r="D17" s="801"/>
      <c r="E17" s="146" t="s">
        <v>62</v>
      </c>
      <c r="F17" s="802">
        <f>個別製品情報入力シート!G8</f>
        <v>0</v>
      </c>
      <c r="G17" s="803"/>
      <c r="H17" s="804"/>
    </row>
    <row r="18" spans="1:8" ht="21" customHeight="1">
      <c r="A18" s="142" t="s">
        <v>113</v>
      </c>
      <c r="B18" s="792">
        <f>個別製品情報入力シート!G8</f>
        <v>0</v>
      </c>
      <c r="C18" s="793"/>
      <c r="D18" s="793"/>
      <c r="E18" s="793"/>
      <c r="F18" s="793"/>
      <c r="G18" s="793"/>
      <c r="H18" s="794"/>
    </row>
    <row r="19" spans="1:8" ht="21" customHeight="1">
      <c r="A19" s="805" t="s">
        <v>5</v>
      </c>
      <c r="B19" s="178" t="s">
        <v>65</v>
      </c>
      <c r="C19" s="808">
        <f>個別製品情報入力シート!G11</f>
        <v>0</v>
      </c>
      <c r="D19" s="809"/>
      <c r="E19" s="810" t="s">
        <v>59</v>
      </c>
      <c r="F19" s="811"/>
      <c r="G19" s="808">
        <f>個別製品情報入力シート!D11</f>
        <v>0</v>
      </c>
      <c r="H19" s="812"/>
    </row>
    <row r="20" spans="1:8" ht="21" customHeight="1">
      <c r="A20" s="806"/>
      <c r="B20" s="178" t="s">
        <v>66</v>
      </c>
      <c r="C20" s="813">
        <f>個別製品情報入力シート!D12</f>
        <v>0</v>
      </c>
      <c r="D20" s="814"/>
      <c r="E20" s="814"/>
      <c r="F20" s="814"/>
      <c r="G20" s="814"/>
      <c r="H20" s="815"/>
    </row>
    <row r="21" spans="1:8" ht="21" customHeight="1">
      <c r="A21" s="807"/>
      <c r="B21" s="178" t="s">
        <v>63</v>
      </c>
      <c r="C21" s="813">
        <f>個別製品情報入力シート!G12</f>
        <v>0</v>
      </c>
      <c r="D21" s="814"/>
      <c r="E21" s="814"/>
      <c r="F21" s="814"/>
      <c r="G21" s="814"/>
      <c r="H21" s="815"/>
    </row>
    <row r="22" spans="1:8" s="127" customFormat="1" ht="12" customHeight="1" thickBot="1">
      <c r="A22" s="128"/>
      <c r="B22" s="125"/>
      <c r="C22" s="125"/>
      <c r="D22" s="125"/>
      <c r="E22" s="125"/>
      <c r="F22" s="125"/>
      <c r="G22" s="126"/>
      <c r="H22" s="125"/>
    </row>
    <row r="23" spans="1:8" s="3" customFormat="1" ht="16.5" customHeight="1">
      <c r="A23" s="819" t="s">
        <v>86</v>
      </c>
      <c r="B23" s="820"/>
      <c r="C23" s="820"/>
      <c r="D23" s="820"/>
      <c r="E23" s="820"/>
      <c r="F23" s="820"/>
      <c r="G23" s="820"/>
      <c r="H23" s="821"/>
    </row>
    <row r="24" spans="1:8" s="3" customFormat="1" ht="24" customHeight="1" thickBot="1">
      <c r="A24" s="137" t="s">
        <v>114</v>
      </c>
      <c r="B24" s="822"/>
      <c r="C24" s="823"/>
      <c r="D24" s="823"/>
      <c r="E24" s="823"/>
      <c r="F24" s="823"/>
      <c r="G24" s="823"/>
      <c r="H24" s="824"/>
    </row>
    <row r="25" spans="1:8" s="136" customFormat="1" ht="13.5" customHeight="1" thickBot="1">
      <c r="A25" s="129"/>
      <c r="B25" s="125"/>
      <c r="C25" s="125"/>
      <c r="D25" s="125"/>
      <c r="E25" s="125"/>
      <c r="F25" s="125"/>
      <c r="G25" s="125"/>
      <c r="H25" s="125"/>
    </row>
    <row r="26" spans="1:8" s="3" customFormat="1" ht="16.5" customHeight="1">
      <c r="A26" s="819" t="s">
        <v>81</v>
      </c>
      <c r="B26" s="820"/>
      <c r="C26" s="820"/>
      <c r="D26" s="820"/>
      <c r="E26" s="820"/>
      <c r="F26" s="820"/>
      <c r="G26" s="820"/>
      <c r="H26" s="821"/>
    </row>
    <row r="27" spans="1:8" s="3" customFormat="1" ht="24" customHeight="1">
      <c r="A27" s="138" t="s">
        <v>82</v>
      </c>
      <c r="B27" s="177" t="s">
        <v>84</v>
      </c>
      <c r="C27" s="825"/>
      <c r="D27" s="826"/>
      <c r="E27" s="827" t="s">
        <v>85</v>
      </c>
      <c r="F27" s="827"/>
      <c r="G27" s="825"/>
      <c r="H27" s="828"/>
    </row>
    <row r="28" spans="1:8" s="3" customFormat="1" ht="24" customHeight="1" thickBot="1">
      <c r="A28" s="139" t="s">
        <v>83</v>
      </c>
      <c r="B28" s="176" t="s">
        <v>84</v>
      </c>
      <c r="C28" s="829"/>
      <c r="D28" s="830"/>
      <c r="E28" s="831" t="s">
        <v>85</v>
      </c>
      <c r="F28" s="831"/>
      <c r="G28" s="832"/>
      <c r="H28" s="833"/>
    </row>
    <row r="29" spans="1:8" ht="13.5" customHeight="1" thickBot="1"/>
    <row r="30" spans="1:8" s="3" customFormat="1" ht="30" customHeight="1" thickBot="1">
      <c r="A30" s="131" t="s">
        <v>157</v>
      </c>
      <c r="B30" s="816"/>
      <c r="C30" s="817"/>
      <c r="D30" s="817"/>
      <c r="E30" s="817"/>
      <c r="F30" s="817"/>
      <c r="G30" s="817"/>
      <c r="H30" s="818"/>
    </row>
    <row r="31" spans="1:8" ht="24" customHeight="1">
      <c r="A31" s="834" t="s">
        <v>158</v>
      </c>
      <c r="B31" s="835"/>
      <c r="C31" s="835"/>
      <c r="D31" s="835"/>
      <c r="E31" s="835"/>
      <c r="F31" s="835"/>
      <c r="G31" s="835"/>
      <c r="H31" s="835"/>
    </row>
    <row r="32" spans="1:8" s="136" customFormat="1" ht="6.95" customHeight="1" thickBot="1">
      <c r="A32" s="129"/>
      <c r="B32" s="125"/>
      <c r="C32" s="125"/>
      <c r="D32" s="125"/>
      <c r="E32" s="125"/>
      <c r="F32" s="125"/>
      <c r="G32" s="125"/>
      <c r="H32" s="125"/>
    </row>
    <row r="33" spans="1:8" s="3" customFormat="1" ht="30" customHeight="1" thickBot="1">
      <c r="A33" s="130" t="s">
        <v>159</v>
      </c>
      <c r="B33" s="816"/>
      <c r="C33" s="817"/>
      <c r="D33" s="817"/>
      <c r="E33" s="817"/>
      <c r="F33" s="817"/>
      <c r="G33" s="817"/>
      <c r="H33" s="818"/>
    </row>
    <row r="34" spans="1:8" s="3" customFormat="1" ht="13.5" customHeight="1">
      <c r="A34" s="129" t="s">
        <v>160</v>
      </c>
      <c r="B34" s="125"/>
      <c r="C34" s="43"/>
      <c r="D34" s="43"/>
      <c r="E34" s="43"/>
      <c r="F34" s="43"/>
      <c r="G34" s="43"/>
      <c r="H34" s="43"/>
    </row>
    <row r="35" spans="1:8" s="3" customFormat="1" ht="13.5" customHeight="1" thickBot="1">
      <c r="A35" s="129"/>
      <c r="B35" s="125"/>
      <c r="C35" s="43"/>
      <c r="D35" s="43"/>
      <c r="E35" s="43"/>
      <c r="F35" s="43"/>
      <c r="G35" s="43"/>
      <c r="H35" s="43"/>
    </row>
    <row r="36" spans="1:8" s="136" customFormat="1" ht="19.5" customHeight="1">
      <c r="A36" s="783" t="s">
        <v>165</v>
      </c>
      <c r="B36" s="784"/>
      <c r="C36" s="784"/>
      <c r="D36" s="784"/>
      <c r="E36" s="784"/>
      <c r="F36" s="784"/>
      <c r="G36" s="784"/>
      <c r="H36" s="785"/>
    </row>
    <row r="37" spans="1:8" ht="21" customHeight="1">
      <c r="A37" s="147" t="s">
        <v>161</v>
      </c>
      <c r="B37" s="800"/>
      <c r="C37" s="793"/>
      <c r="D37" s="793"/>
      <c r="E37" s="793"/>
      <c r="F37" s="793"/>
      <c r="G37" s="793"/>
      <c r="H37" s="794"/>
    </row>
    <row r="38" spans="1:8" ht="21" customHeight="1">
      <c r="A38" s="142" t="s">
        <v>115</v>
      </c>
      <c r="B38" s="800"/>
      <c r="C38" s="793"/>
      <c r="D38" s="793"/>
      <c r="E38" s="793"/>
      <c r="F38" s="793"/>
      <c r="G38" s="793"/>
      <c r="H38" s="794"/>
    </row>
    <row r="39" spans="1:8" ht="14.25" customHeight="1">
      <c r="A39" s="143" t="s">
        <v>110</v>
      </c>
      <c r="B39" s="144" t="s">
        <v>110</v>
      </c>
      <c r="C39" s="836"/>
      <c r="D39" s="796"/>
      <c r="E39" s="797" t="s">
        <v>110</v>
      </c>
      <c r="F39" s="798"/>
      <c r="G39" s="836"/>
      <c r="H39" s="799"/>
    </row>
    <row r="40" spans="1:8" ht="21" customHeight="1">
      <c r="A40" s="122" t="s">
        <v>6</v>
      </c>
      <c r="B40" s="145" t="s">
        <v>60</v>
      </c>
      <c r="C40" s="837"/>
      <c r="D40" s="777"/>
      <c r="E40" s="778" t="s">
        <v>61</v>
      </c>
      <c r="F40" s="779"/>
      <c r="G40" s="837"/>
      <c r="H40" s="780"/>
    </row>
    <row r="41" spans="1:8" ht="21" customHeight="1">
      <c r="A41" s="142" t="s">
        <v>111</v>
      </c>
      <c r="B41" s="800"/>
      <c r="C41" s="793"/>
      <c r="D41" s="793"/>
      <c r="E41" s="793"/>
      <c r="F41" s="793"/>
      <c r="G41" s="793"/>
      <c r="H41" s="794"/>
    </row>
    <row r="42" spans="1:8" ht="21" customHeight="1">
      <c r="A42" s="142" t="s">
        <v>112</v>
      </c>
      <c r="B42" s="800"/>
      <c r="C42" s="793"/>
      <c r="D42" s="801"/>
      <c r="E42" s="146" t="s">
        <v>62</v>
      </c>
      <c r="F42" s="838"/>
      <c r="G42" s="803"/>
      <c r="H42" s="804"/>
    </row>
    <row r="43" spans="1:8" ht="21" customHeight="1">
      <c r="A43" s="142" t="s">
        <v>113</v>
      </c>
      <c r="B43" s="800"/>
      <c r="C43" s="793"/>
      <c r="D43" s="793"/>
      <c r="E43" s="793"/>
      <c r="F43" s="793"/>
      <c r="G43" s="793"/>
      <c r="H43" s="794"/>
    </row>
    <row r="44" spans="1:8" ht="21" customHeight="1">
      <c r="A44" s="805" t="s">
        <v>5</v>
      </c>
      <c r="B44" s="178" t="s">
        <v>65</v>
      </c>
      <c r="C44" s="808"/>
      <c r="D44" s="809"/>
      <c r="E44" s="178" t="s">
        <v>59</v>
      </c>
      <c r="F44" s="840"/>
      <c r="G44" s="841"/>
      <c r="H44" s="842"/>
    </row>
    <row r="45" spans="1:8" ht="21" customHeight="1">
      <c r="A45" s="806"/>
      <c r="B45" s="178" t="s">
        <v>66</v>
      </c>
      <c r="C45" s="813"/>
      <c r="D45" s="814"/>
      <c r="E45" s="814"/>
      <c r="F45" s="814"/>
      <c r="G45" s="814"/>
      <c r="H45" s="815"/>
    </row>
    <row r="46" spans="1:8" ht="21" customHeight="1">
      <c r="A46" s="807"/>
      <c r="B46" s="178" t="s">
        <v>63</v>
      </c>
      <c r="C46" s="813"/>
      <c r="D46" s="814"/>
      <c r="E46" s="814"/>
      <c r="F46" s="814"/>
      <c r="G46" s="814"/>
      <c r="H46" s="815"/>
    </row>
    <row r="47" spans="1:8" ht="14.25" thickBot="1">
      <c r="A47" s="843" t="s">
        <v>162</v>
      </c>
      <c r="B47" s="844"/>
      <c r="C47" s="844"/>
      <c r="D47" s="844"/>
      <c r="E47" s="844"/>
      <c r="F47" s="844"/>
      <c r="G47" s="844"/>
      <c r="H47" s="845"/>
    </row>
    <row r="48" spans="1:8" s="3" customFormat="1" ht="13.5" customHeight="1" thickBot="1">
      <c r="A48" s="129"/>
      <c r="B48" s="125"/>
      <c r="C48" s="43"/>
      <c r="D48" s="43"/>
      <c r="E48" s="43"/>
      <c r="F48" s="43"/>
      <c r="G48" s="43"/>
      <c r="H48" s="43"/>
    </row>
    <row r="49" spans="1:8" s="136" customFormat="1" ht="19.5" customHeight="1">
      <c r="A49" s="846" t="s">
        <v>166</v>
      </c>
      <c r="B49" s="784"/>
      <c r="C49" s="784"/>
      <c r="D49" s="784"/>
      <c r="E49" s="784"/>
      <c r="F49" s="784"/>
      <c r="G49" s="784"/>
      <c r="H49" s="785"/>
    </row>
    <row r="50" spans="1:8" ht="21" customHeight="1">
      <c r="A50" s="147" t="s">
        <v>163</v>
      </c>
      <c r="B50" s="800"/>
      <c r="C50" s="793"/>
      <c r="D50" s="793"/>
      <c r="E50" s="793"/>
      <c r="F50" s="793"/>
      <c r="G50" s="793"/>
      <c r="H50" s="794"/>
    </row>
    <row r="51" spans="1:8" ht="14.25" thickBot="1">
      <c r="A51" s="843" t="s">
        <v>164</v>
      </c>
      <c r="B51" s="844"/>
      <c r="C51" s="844"/>
      <c r="D51" s="844"/>
      <c r="E51" s="844"/>
      <c r="F51" s="844"/>
      <c r="G51" s="844"/>
      <c r="H51" s="845"/>
    </row>
    <row r="52" spans="1:8" s="136" customFormat="1" ht="8.25" customHeight="1">
      <c r="A52" s="179"/>
      <c r="B52" s="180"/>
      <c r="C52" s="180"/>
      <c r="D52" s="180"/>
      <c r="E52" s="180"/>
      <c r="F52" s="180"/>
      <c r="G52" s="180"/>
      <c r="H52" s="180"/>
    </row>
    <row r="53" spans="1:8">
      <c r="A53" s="133" t="s">
        <v>49</v>
      </c>
      <c r="B53" s="134"/>
      <c r="C53" s="134"/>
      <c r="D53" s="134"/>
      <c r="E53" s="134"/>
      <c r="F53" s="134"/>
      <c r="G53" s="134"/>
      <c r="H53" s="135"/>
    </row>
    <row r="54" spans="1:8" ht="27" customHeight="1">
      <c r="A54" s="839" t="s">
        <v>67</v>
      </c>
      <c r="B54" s="839"/>
      <c r="C54" s="839"/>
      <c r="D54" s="839"/>
      <c r="E54" s="839"/>
      <c r="F54" s="839"/>
      <c r="G54" s="839"/>
      <c r="H54" s="839"/>
    </row>
    <row r="55" spans="1:8">
      <c r="A55" s="839"/>
      <c r="B55" s="839"/>
      <c r="C55" s="839"/>
      <c r="D55" s="839"/>
      <c r="E55" s="839"/>
      <c r="F55" s="839"/>
      <c r="G55" s="839"/>
      <c r="H55" s="839"/>
    </row>
  </sheetData>
  <mergeCells count="60">
    <mergeCell ref="A55:H55"/>
    <mergeCell ref="B43:H43"/>
    <mergeCell ref="A44:A46"/>
    <mergeCell ref="C44:D44"/>
    <mergeCell ref="F44:H44"/>
    <mergeCell ref="C45:H45"/>
    <mergeCell ref="C46:H46"/>
    <mergeCell ref="A47:H47"/>
    <mergeCell ref="A49:H49"/>
    <mergeCell ref="B50:H50"/>
    <mergeCell ref="A51:H51"/>
    <mergeCell ref="A54:H54"/>
    <mergeCell ref="C40:D40"/>
    <mergeCell ref="E40:F40"/>
    <mergeCell ref="G40:H40"/>
    <mergeCell ref="B41:H41"/>
    <mergeCell ref="B42:D42"/>
    <mergeCell ref="F42:H42"/>
    <mergeCell ref="A36:H36"/>
    <mergeCell ref="B37:H37"/>
    <mergeCell ref="B38:H38"/>
    <mergeCell ref="C39:D39"/>
    <mergeCell ref="E39:F39"/>
    <mergeCell ref="G39:H39"/>
    <mergeCell ref="B33:H33"/>
    <mergeCell ref="A23:H23"/>
    <mergeCell ref="B24:H24"/>
    <mergeCell ref="A26:H26"/>
    <mergeCell ref="C27:D27"/>
    <mergeCell ref="E27:F27"/>
    <mergeCell ref="G27:H27"/>
    <mergeCell ref="C28:D28"/>
    <mergeCell ref="E28:F28"/>
    <mergeCell ref="G28:H28"/>
    <mergeCell ref="B30:H30"/>
    <mergeCell ref="A31:H31"/>
    <mergeCell ref="B16:H16"/>
    <mergeCell ref="B17:D17"/>
    <mergeCell ref="F17:H17"/>
    <mergeCell ref="B18:H18"/>
    <mergeCell ref="A19:A21"/>
    <mergeCell ref="C19:D19"/>
    <mergeCell ref="E19:F19"/>
    <mergeCell ref="G19:H19"/>
    <mergeCell ref="C20:H20"/>
    <mergeCell ref="C21:H21"/>
    <mergeCell ref="C15:D15"/>
    <mergeCell ref="E15:F15"/>
    <mergeCell ref="G15:H15"/>
    <mergeCell ref="A2:H2"/>
    <mergeCell ref="A3:H3"/>
    <mergeCell ref="A5:H5"/>
    <mergeCell ref="A9:H9"/>
    <mergeCell ref="B10:H10"/>
    <mergeCell ref="B11:H11"/>
    <mergeCell ref="B12:H12"/>
    <mergeCell ref="B13:H13"/>
    <mergeCell ref="C14:D14"/>
    <mergeCell ref="E14:F14"/>
    <mergeCell ref="G14:H14"/>
  </mergeCells>
  <phoneticPr fontId="10"/>
  <dataValidations count="2">
    <dataValidation type="list" allowBlank="1" showInputMessage="1" showErrorMessage="1" sqref="C27:D28" xr:uid="{00000000-0002-0000-0500-000000000000}">
      <formula1>"参加,不参加"</formula1>
    </dataValidation>
    <dataValidation type="list" allowBlank="1" showInputMessage="1" showErrorMessage="1" sqref="B24:H24" xr:uid="{00000000-0002-0000-0500-000001000000}">
      <formula1>"チェックを行った,チェックを行っていない"</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oddFooter>&amp;R2016.3.11</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view="pageBreakPreview" zoomScaleNormal="100" zoomScaleSheetLayoutView="100" workbookViewId="0">
      <selection activeCell="C25" sqref="C25:D25"/>
    </sheetView>
  </sheetViews>
  <sheetFormatPr defaultRowHeight="13.5"/>
  <cols>
    <col min="1" max="1" width="5.5" style="101" customWidth="1"/>
    <col min="2" max="2" width="20.625" style="101" customWidth="1"/>
    <col min="3" max="3" width="23.75" style="101" customWidth="1"/>
    <col min="4" max="4" width="5.5" style="101" customWidth="1"/>
    <col min="5" max="5" width="19.75" style="101" customWidth="1"/>
    <col min="6" max="6" width="26.625" style="101" customWidth="1"/>
    <col min="7" max="7" width="11.375" style="101" bestFit="1" customWidth="1"/>
    <col min="8" max="8" width="9.625" style="101" bestFit="1" customWidth="1"/>
    <col min="9" max="9" width="9" style="101"/>
    <col min="10" max="10" width="11.5" style="101" bestFit="1" customWidth="1"/>
    <col min="11" max="16384" width="9" style="101"/>
  </cols>
  <sheetData>
    <row r="1" spans="1:6" ht="24" customHeight="1">
      <c r="A1" s="847" t="s">
        <v>176</v>
      </c>
      <c r="B1" s="848"/>
      <c r="C1" s="848"/>
      <c r="D1" s="848"/>
      <c r="E1" s="848"/>
      <c r="F1" s="848"/>
    </row>
    <row r="2" spans="1:6" ht="24" customHeight="1">
      <c r="A2" s="847" t="s">
        <v>167</v>
      </c>
      <c r="B2" s="848"/>
      <c r="C2" s="848"/>
      <c r="D2" s="848"/>
      <c r="E2" s="848"/>
      <c r="F2" s="848"/>
    </row>
    <row r="3" spans="1:6" ht="12.75" customHeight="1" thickBot="1">
      <c r="A3" s="852"/>
      <c r="B3" s="852"/>
      <c r="C3" s="852"/>
      <c r="D3" s="852"/>
      <c r="E3" s="852"/>
      <c r="F3" s="852"/>
    </row>
    <row r="4" spans="1:6" ht="14.25" customHeight="1" thickBot="1">
      <c r="A4" s="849" t="s">
        <v>45</v>
      </c>
      <c r="B4" s="850"/>
      <c r="C4" s="850"/>
      <c r="D4" s="850"/>
      <c r="E4" s="850"/>
      <c r="F4" s="851"/>
    </row>
    <row r="5" spans="1:6" ht="21" customHeight="1" thickBot="1">
      <c r="A5" s="102">
        <v>1.1000000000000001</v>
      </c>
      <c r="B5" s="103" t="s">
        <v>64</v>
      </c>
      <c r="C5" s="855" t="s">
        <v>47</v>
      </c>
      <c r="D5" s="856"/>
      <c r="E5" s="857"/>
      <c r="F5" s="106" t="s">
        <v>143</v>
      </c>
    </row>
    <row r="6" spans="1:6" s="674" customFormat="1" ht="21" customHeight="1" thickBot="1">
      <c r="A6" s="895">
        <v>1.2</v>
      </c>
      <c r="B6" s="673" t="s">
        <v>178</v>
      </c>
      <c r="C6" s="868">
        <f>個別製品情報入力シート!C14</f>
        <v>0</v>
      </c>
      <c r="D6" s="869"/>
      <c r="E6" s="870"/>
      <c r="F6" s="670"/>
    </row>
    <row r="7" spans="1:6" s="674" customFormat="1" ht="21" customHeight="1" thickBot="1">
      <c r="A7" s="896"/>
      <c r="B7" s="673" t="s">
        <v>179</v>
      </c>
      <c r="C7" s="868">
        <f>個別製品情報入力シート!C15</f>
        <v>0</v>
      </c>
      <c r="D7" s="869"/>
      <c r="E7" s="870"/>
      <c r="F7" s="671"/>
    </row>
    <row r="8" spans="1:6" ht="21" customHeight="1" thickBot="1">
      <c r="A8" s="102">
        <v>1.3</v>
      </c>
      <c r="B8" s="103" t="s">
        <v>43</v>
      </c>
      <c r="C8" s="871" t="str">
        <f>個別製品情報入力シート!D16&amp;"　"&amp;個別製品情報入力シート!D20&amp;"ページ"</f>
        <v>B6　ページ</v>
      </c>
      <c r="D8" s="872"/>
      <c r="E8" s="873"/>
      <c r="F8" s="671"/>
    </row>
    <row r="9" spans="1:6" ht="16.5" customHeight="1">
      <c r="A9" s="853">
        <v>1.4</v>
      </c>
      <c r="B9" s="853" t="s">
        <v>41</v>
      </c>
      <c r="C9" s="275" t="str">
        <f>個別製品情報入力シート!B20&amp;"："&amp;個別製品情報入力シート!D20&amp;"頁"</f>
        <v>製品ページ数：頁</v>
      </c>
      <c r="D9" s="276"/>
      <c r="E9" s="277"/>
      <c r="F9" s="671"/>
    </row>
    <row r="10" spans="1:6">
      <c r="A10" s="874"/>
      <c r="B10" s="874"/>
      <c r="C10" s="858" t="str">
        <f>"完成品サイズ："&amp;個別製品情報入力シート!D16&amp;" （"&amp;個別製品情報入力シート!D17&amp;"㎜×"&amp;個別製品情報入力シート!E17&amp;"㎜）"</f>
        <v>完成品サイズ：B6 （182㎜×128㎜）</v>
      </c>
      <c r="D10" s="859"/>
      <c r="E10" s="860"/>
      <c r="F10" s="671"/>
    </row>
    <row r="11" spans="1:6" ht="16.5" customHeight="1">
      <c r="A11" s="874"/>
      <c r="B11" s="874"/>
      <c r="C11" s="278" t="str">
        <f>"発行部数："&amp;個別製品情報入力シート!D18&amp;" 部"</f>
        <v>発行部数： 部</v>
      </c>
      <c r="D11" s="279"/>
      <c r="E11" s="280"/>
      <c r="F11" s="671"/>
    </row>
    <row r="12" spans="1:6" ht="16.5" customHeight="1">
      <c r="A12" s="874"/>
      <c r="B12" s="874"/>
      <c r="C12" s="278" t="str">
        <f>個別製品情報入力シート!D21&amp;"　"&amp;IF(個別製品情報入力シート!D22="なし","",個別製品情報入力シート!D22)</f>
        <v>折りあり　無線綴じ</v>
      </c>
      <c r="D12" s="279"/>
      <c r="E12" s="280"/>
      <c r="F12" s="671"/>
    </row>
    <row r="13" spans="1:6" ht="16.5" customHeight="1" thickBot="1">
      <c r="A13" s="875"/>
      <c r="B13" s="875"/>
      <c r="C13" s="557" t="str">
        <f>"色数："&amp;MAX(個別製品情報入力シート!E30:I31)&amp;"色"</f>
        <v>色数：0色</v>
      </c>
      <c r="D13" s="281"/>
      <c r="E13" s="282"/>
      <c r="F13" s="671"/>
    </row>
    <row r="14" spans="1:6" ht="21" customHeight="1" thickBot="1">
      <c r="A14" s="106">
        <v>1.5</v>
      </c>
      <c r="B14" s="106" t="s">
        <v>46</v>
      </c>
      <c r="C14" s="866" t="s">
        <v>665</v>
      </c>
      <c r="D14" s="867"/>
      <c r="E14" s="867"/>
      <c r="F14" s="671"/>
    </row>
    <row r="15" spans="1:6" ht="21" customHeight="1" thickBot="1">
      <c r="A15" s="102">
        <v>1.6</v>
      </c>
      <c r="B15" s="103" t="s">
        <v>76</v>
      </c>
      <c r="C15" s="861" t="s">
        <v>47</v>
      </c>
      <c r="D15" s="862"/>
      <c r="E15" s="862"/>
      <c r="F15" s="672"/>
    </row>
    <row r="16" spans="1:6" ht="14.25" thickBot="1">
      <c r="A16" s="107"/>
    </row>
    <row r="17" spans="1:10" ht="14.25" thickBot="1">
      <c r="A17" s="849" t="s">
        <v>92</v>
      </c>
      <c r="B17" s="850"/>
      <c r="C17" s="850"/>
      <c r="D17" s="850"/>
      <c r="E17" s="850"/>
      <c r="F17" s="851"/>
    </row>
    <row r="18" spans="1:10" ht="25.5" customHeight="1" thickBot="1">
      <c r="A18" s="853">
        <v>2.1</v>
      </c>
      <c r="B18" s="103" t="s">
        <v>54</v>
      </c>
      <c r="C18" s="863">
        <f>個別製品情報入力シート!C4</f>
        <v>0</v>
      </c>
      <c r="D18" s="864"/>
      <c r="E18" s="864"/>
      <c r="F18" s="865"/>
      <c r="G18" s="288"/>
    </row>
    <row r="19" spans="1:10" ht="25.5" customHeight="1" thickBot="1">
      <c r="A19" s="854"/>
      <c r="B19" s="106" t="s">
        <v>55</v>
      </c>
      <c r="C19" s="863">
        <f>個別製品情報入力シート!C5</f>
        <v>0</v>
      </c>
      <c r="D19" s="864"/>
      <c r="E19" s="864"/>
      <c r="F19" s="865"/>
      <c r="G19" s="288"/>
    </row>
    <row r="20" spans="1:10" s="113" customFormat="1" ht="21" customHeight="1" thickBot="1">
      <c r="A20" s="117">
        <v>2.2000000000000002</v>
      </c>
      <c r="B20" s="118" t="s">
        <v>75</v>
      </c>
      <c r="C20" s="899">
        <f>個別製品情報入力シート!C10</f>
        <v>0</v>
      </c>
      <c r="D20" s="900"/>
      <c r="E20" s="900"/>
      <c r="F20" s="901"/>
      <c r="G20" s="289"/>
    </row>
    <row r="21" spans="1:10" ht="14.25" thickBot="1">
      <c r="A21" s="107"/>
      <c r="G21" s="288"/>
    </row>
    <row r="22" spans="1:10" ht="14.25" customHeight="1" thickBot="1">
      <c r="A22" s="849" t="s">
        <v>107</v>
      </c>
      <c r="B22" s="850"/>
      <c r="C22" s="850"/>
      <c r="D22" s="850"/>
      <c r="E22" s="850"/>
      <c r="F22" s="851"/>
      <c r="G22" s="288"/>
    </row>
    <row r="23" spans="1:10" ht="37.5" customHeight="1" thickBot="1">
      <c r="A23" s="102">
        <v>3.1</v>
      </c>
      <c r="B23" s="103" t="s">
        <v>145</v>
      </c>
      <c r="C23" s="904" t="e">
        <f>ROUND('(4)データ入力と算出結果'!Q107,1-INT(LOG(ABS('(4)データ入力と算出結果'!Q107))))</f>
        <v>#DIV/0!</v>
      </c>
      <c r="D23" s="905"/>
      <c r="E23" s="902" t="s">
        <v>144</v>
      </c>
      <c r="F23" s="903"/>
      <c r="G23" s="288"/>
      <c r="H23" s="101" t="e">
        <f>C23/個別製品情報入力シート!D18*1000</f>
        <v>#DIV/0!</v>
      </c>
    </row>
    <row r="24" spans="1:10" ht="14.25" customHeight="1" thickBot="1">
      <c r="A24" s="911">
        <v>3.2</v>
      </c>
      <c r="B24" s="908" t="s">
        <v>106</v>
      </c>
      <c r="C24" s="909"/>
      <c r="D24" s="909"/>
      <c r="E24" s="909"/>
      <c r="F24" s="910"/>
      <c r="G24" s="288"/>
    </row>
    <row r="25" spans="1:10" ht="23.1" customHeight="1" thickBot="1">
      <c r="A25" s="912"/>
      <c r="B25" s="103" t="s">
        <v>11</v>
      </c>
      <c r="C25" s="897" t="e">
        <f>ROUND('(4)データ入力と算出結果'!O37,1-INT(LOG(ABS('(4)データ入力と算出結果'!O37))))</f>
        <v>#DIV/0!</v>
      </c>
      <c r="D25" s="898"/>
      <c r="E25" s="902" t="s">
        <v>100</v>
      </c>
      <c r="F25" s="903"/>
      <c r="G25" s="288"/>
      <c r="H25" s="683" t="e">
        <f>C25/SUM($C$25:$D$29)</f>
        <v>#DIV/0!</v>
      </c>
      <c r="J25" s="341"/>
    </row>
    <row r="26" spans="1:10" ht="23.1" customHeight="1" thickBot="1">
      <c r="A26" s="912"/>
      <c r="B26" s="103" t="s">
        <v>12</v>
      </c>
      <c r="C26" s="897" t="e">
        <f>ROUND('(4)データ入力と算出結果'!O61,1-INT(LOG(ABS('(4)データ入力と算出結果'!O61))))</f>
        <v>#DIV/0!</v>
      </c>
      <c r="D26" s="898"/>
      <c r="E26" s="902" t="s">
        <v>99</v>
      </c>
      <c r="F26" s="903"/>
      <c r="G26" s="288"/>
      <c r="H26" s="683" t="e">
        <f>C26/SUM($C$25:$D$29)</f>
        <v>#DIV/0!</v>
      </c>
      <c r="J26" s="341"/>
    </row>
    <row r="27" spans="1:10" ht="23.1" customHeight="1" thickBot="1">
      <c r="A27" s="912"/>
      <c r="B27" s="103" t="s">
        <v>38</v>
      </c>
      <c r="C27" s="897" t="e">
        <f>ROUND('(4)データ入力と算出結果'!O76,1-INT(LOG(ABS('(4)データ入力と算出結果'!O76))))</f>
        <v>#NUM!</v>
      </c>
      <c r="D27" s="898"/>
      <c r="E27" s="902" t="s">
        <v>99</v>
      </c>
      <c r="F27" s="903"/>
      <c r="G27" s="288"/>
      <c r="H27" s="683" t="e">
        <f>C27/SUM($C$25:$D$29)</f>
        <v>#NUM!</v>
      </c>
      <c r="J27" s="341"/>
    </row>
    <row r="28" spans="1:10" ht="23.1" customHeight="1" thickBot="1">
      <c r="A28" s="912"/>
      <c r="B28" s="103" t="s">
        <v>13</v>
      </c>
      <c r="C28" s="897">
        <f>IF('(4)データ入力と算出結果'!O84=0,0,ROUND('(4)データ入力と算出結果'!O84,1-INT(LOG(ABS('(4)データ入力と算出結果'!O84)))))</f>
        <v>0</v>
      </c>
      <c r="D28" s="898"/>
      <c r="E28" s="902" t="s">
        <v>99</v>
      </c>
      <c r="F28" s="903"/>
      <c r="G28" s="361"/>
      <c r="H28" s="683" t="e">
        <f>C28/SUM($C$25:$D$29)</f>
        <v>#DIV/0!</v>
      </c>
      <c r="J28" s="341"/>
    </row>
    <row r="29" spans="1:10" ht="23.1" customHeight="1" thickBot="1">
      <c r="A29" s="913"/>
      <c r="B29" s="103" t="s">
        <v>14</v>
      </c>
      <c r="C29" s="906" t="e">
        <f>ROUND('(4)データ入力と算出結果'!O104,1-INT(LOG(ABS('(4)データ入力と算出結果'!O104))))</f>
        <v>#NUM!</v>
      </c>
      <c r="D29" s="907"/>
      <c r="E29" s="902" t="s">
        <v>99</v>
      </c>
      <c r="F29" s="903"/>
      <c r="G29" s="362"/>
      <c r="H29" s="683" t="e">
        <f>C29/SUM($C$25:$D$29)</f>
        <v>#NUM!</v>
      </c>
      <c r="J29" s="341"/>
    </row>
    <row r="30" spans="1:10" ht="14.25" customHeight="1" thickBot="1">
      <c r="A30" s="853">
        <v>3.3</v>
      </c>
      <c r="B30" s="908" t="s">
        <v>108</v>
      </c>
      <c r="C30" s="909"/>
      <c r="D30" s="909"/>
      <c r="E30" s="909"/>
      <c r="F30" s="910"/>
      <c r="G30" s="288"/>
      <c r="J30" s="341"/>
    </row>
    <row r="31" spans="1:10" ht="15" customHeight="1" thickBot="1">
      <c r="A31" s="874"/>
      <c r="B31" s="853" t="s">
        <v>71</v>
      </c>
      <c r="C31" s="914" t="s">
        <v>48</v>
      </c>
      <c r="D31" s="924"/>
      <c r="E31" s="922" t="s">
        <v>101</v>
      </c>
      <c r="F31" s="923"/>
      <c r="G31" s="288"/>
    </row>
    <row r="32" spans="1:10" ht="37.5" customHeight="1" thickBot="1">
      <c r="A32" s="874"/>
      <c r="B32" s="875"/>
      <c r="C32" s="920" t="e">
        <f>(ROUND(H23,1-INT(LOG(ABS(H23)))))&amp;"ｇ"</f>
        <v>#DIV/0!</v>
      </c>
      <c r="D32" s="921"/>
      <c r="E32" s="353" t="s">
        <v>769</v>
      </c>
      <c r="F32" s="354"/>
      <c r="G32" s="288"/>
      <c r="J32" s="341"/>
    </row>
    <row r="33" spans="1:7" ht="125.25" customHeight="1" thickBot="1">
      <c r="A33" s="874"/>
      <c r="B33" s="104" t="s">
        <v>102</v>
      </c>
      <c r="C33" s="917"/>
      <c r="D33" s="918"/>
      <c r="E33" s="918"/>
      <c r="F33" s="919"/>
      <c r="G33" s="288"/>
    </row>
    <row r="34" spans="1:7" ht="35.25" customHeight="1" thickBot="1">
      <c r="A34" s="104">
        <v>3.4</v>
      </c>
      <c r="B34" s="106" t="s">
        <v>44</v>
      </c>
      <c r="C34" s="914"/>
      <c r="D34" s="915"/>
      <c r="E34" s="915"/>
      <c r="F34" s="916"/>
      <c r="G34" s="288"/>
    </row>
    <row r="35" spans="1:7" ht="15" customHeight="1" thickBot="1">
      <c r="A35" s="108"/>
      <c r="B35" s="109"/>
      <c r="C35" s="109"/>
      <c r="D35" s="109"/>
      <c r="E35" s="109"/>
      <c r="F35" s="109"/>
      <c r="G35" s="288"/>
    </row>
    <row r="36" spans="1:7" ht="14.25" customHeight="1" thickBot="1">
      <c r="A36" s="849" t="s">
        <v>103</v>
      </c>
      <c r="B36" s="850"/>
      <c r="C36" s="850"/>
      <c r="D36" s="850"/>
      <c r="E36" s="850"/>
      <c r="F36" s="851"/>
      <c r="G36" s="288"/>
    </row>
    <row r="37" spans="1:7" ht="48.75" customHeight="1">
      <c r="A37" s="853">
        <v>4.0999999999999996</v>
      </c>
      <c r="B37" s="879" t="s">
        <v>154</v>
      </c>
      <c r="C37" s="884" t="e">
        <f>"原材料調達段階における温室効果ガス排出量が全体の中で最も多く、"&amp;ROUND(H25,2)*100&amp;"％になりました。その中でも、購入原材料である印刷用紙に起因するものが"&amp;ROUND('(4)データ入力と算出結果'!S20,2)*100&amp;"％を占めました。"</f>
        <v>#DIV/0!</v>
      </c>
      <c r="D37" s="885"/>
      <c r="E37" s="885"/>
      <c r="F37" s="886"/>
      <c r="G37" s="288"/>
    </row>
    <row r="38" spans="1:7" ht="69.75" customHeight="1" thickBot="1">
      <c r="A38" s="875"/>
      <c r="B38" s="880"/>
      <c r="C38" s="881" t="s">
        <v>770</v>
      </c>
      <c r="D38" s="882"/>
      <c r="E38" s="882"/>
      <c r="F38" s="883"/>
      <c r="G38" s="288"/>
    </row>
    <row r="39" spans="1:7" ht="15" customHeight="1" thickBot="1">
      <c r="A39" s="878"/>
      <c r="B39" s="878"/>
      <c r="C39" s="878"/>
      <c r="D39" s="878"/>
      <c r="E39" s="878"/>
      <c r="F39" s="878"/>
      <c r="G39" s="288"/>
    </row>
    <row r="40" spans="1:7" ht="14.25" customHeight="1" thickBot="1">
      <c r="A40" s="849" t="s">
        <v>104</v>
      </c>
      <c r="B40" s="876"/>
      <c r="C40" s="876"/>
      <c r="D40" s="876"/>
      <c r="E40" s="876"/>
      <c r="F40" s="877"/>
      <c r="G40" s="288"/>
    </row>
    <row r="41" spans="1:7" ht="21" customHeight="1" thickBot="1">
      <c r="A41" s="102">
        <v>5.0999999999999996</v>
      </c>
      <c r="B41" s="103" t="s">
        <v>90</v>
      </c>
      <c r="C41" s="110" t="s">
        <v>667</v>
      </c>
      <c r="D41" s="102">
        <v>5.2</v>
      </c>
      <c r="E41" s="103" t="s">
        <v>91</v>
      </c>
      <c r="F41" s="105" t="s">
        <v>666</v>
      </c>
      <c r="G41" s="288"/>
    </row>
    <row r="42" spans="1:7" ht="56.25" customHeight="1" thickBot="1">
      <c r="A42" s="102">
        <v>5.3</v>
      </c>
      <c r="B42" s="111" t="s">
        <v>109</v>
      </c>
      <c r="C42" s="871" t="s">
        <v>1339</v>
      </c>
      <c r="D42" s="872"/>
      <c r="E42" s="872"/>
      <c r="F42" s="873"/>
      <c r="G42" s="288"/>
    </row>
    <row r="43" spans="1:7" ht="14.25" thickBot="1">
      <c r="A43" s="112"/>
      <c r="G43" s="288"/>
    </row>
    <row r="44" spans="1:7" s="113" customFormat="1" ht="14.25" customHeight="1" thickBot="1">
      <c r="A44" s="889" t="s">
        <v>105</v>
      </c>
      <c r="B44" s="876"/>
      <c r="C44" s="876"/>
      <c r="D44" s="876"/>
      <c r="E44" s="876"/>
      <c r="F44" s="877"/>
      <c r="G44" s="289"/>
    </row>
    <row r="45" spans="1:7" s="113" customFormat="1" ht="21" customHeight="1" thickBot="1">
      <c r="A45" s="114">
        <v>6.1</v>
      </c>
      <c r="B45" s="115" t="s">
        <v>72</v>
      </c>
      <c r="C45" s="116" t="s">
        <v>74</v>
      </c>
      <c r="D45" s="117">
        <v>6.2</v>
      </c>
      <c r="E45" s="118" t="s">
        <v>73</v>
      </c>
      <c r="F45" s="119" t="s">
        <v>221</v>
      </c>
      <c r="G45" s="289"/>
    </row>
    <row r="46" spans="1:7" s="113" customFormat="1" ht="21" customHeight="1" thickBot="1">
      <c r="A46" s="117">
        <v>6.3</v>
      </c>
      <c r="B46" s="118" t="s">
        <v>42</v>
      </c>
      <c r="C46" s="640" t="s">
        <v>47</v>
      </c>
      <c r="D46" s="117">
        <v>6.4</v>
      </c>
      <c r="E46" s="118" t="s">
        <v>155</v>
      </c>
      <c r="F46" s="641" t="s">
        <v>47</v>
      </c>
      <c r="G46" s="289"/>
    </row>
    <row r="47" spans="1:7" ht="14.25" thickBot="1">
      <c r="C47" s="120"/>
      <c r="D47" s="120"/>
      <c r="E47" s="120"/>
      <c r="G47" s="288"/>
    </row>
    <row r="48" spans="1:7" s="113" customFormat="1" ht="14.25" customHeight="1" thickBot="1">
      <c r="A48" s="889" t="s">
        <v>168</v>
      </c>
      <c r="B48" s="893"/>
      <c r="C48" s="893"/>
      <c r="D48" s="893"/>
      <c r="E48" s="893"/>
      <c r="F48" s="894"/>
      <c r="G48" s="289"/>
    </row>
    <row r="49" spans="1:7" s="113" customFormat="1" ht="30.75" customHeight="1" thickBot="1">
      <c r="A49" s="114">
        <v>7.1</v>
      </c>
      <c r="B49" s="115" t="s">
        <v>169</v>
      </c>
      <c r="C49" s="187" t="s">
        <v>172</v>
      </c>
      <c r="D49" s="117">
        <v>7.2</v>
      </c>
      <c r="E49" s="182" t="s">
        <v>170</v>
      </c>
      <c r="F49" s="181" t="s">
        <v>175</v>
      </c>
      <c r="G49" s="289"/>
    </row>
    <row r="50" spans="1:7" s="113" customFormat="1" ht="31.5" customHeight="1" thickBot="1">
      <c r="A50" s="117">
        <v>7.3</v>
      </c>
      <c r="B50" s="118" t="s">
        <v>171</v>
      </c>
      <c r="C50" s="187" t="s">
        <v>1344</v>
      </c>
      <c r="D50" s="117">
        <v>7.4</v>
      </c>
      <c r="E50" s="118" t="s">
        <v>173</v>
      </c>
      <c r="F50" s="188" t="s">
        <v>174</v>
      </c>
      <c r="G50" s="289"/>
    </row>
    <row r="51" spans="1:7" ht="14.25" thickBot="1">
      <c r="C51" s="120"/>
      <c r="D51" s="120"/>
      <c r="E51" s="120"/>
      <c r="G51" s="288"/>
    </row>
    <row r="52" spans="1:7" s="113" customFormat="1" ht="21" customHeight="1" thickBot="1">
      <c r="A52" s="114">
        <v>8</v>
      </c>
      <c r="B52" s="115" t="s">
        <v>44</v>
      </c>
      <c r="C52" s="890" t="s">
        <v>93</v>
      </c>
      <c r="D52" s="891"/>
      <c r="E52" s="891"/>
      <c r="F52" s="892"/>
      <c r="G52" s="289"/>
    </row>
    <row r="53" spans="1:7" ht="33.75" customHeight="1">
      <c r="A53" s="887" t="s">
        <v>125</v>
      </c>
      <c r="B53" s="888"/>
      <c r="C53" s="888"/>
      <c r="D53" s="888"/>
      <c r="E53" s="888"/>
      <c r="F53" s="888"/>
      <c r="G53" s="288"/>
    </row>
  </sheetData>
  <mergeCells count="54">
    <mergeCell ref="C34:F34"/>
    <mergeCell ref="A36:F36"/>
    <mergeCell ref="A30:A33"/>
    <mergeCell ref="B30:F30"/>
    <mergeCell ref="C33:F33"/>
    <mergeCell ref="C32:D32"/>
    <mergeCell ref="B31:B32"/>
    <mergeCell ref="E31:F31"/>
    <mergeCell ref="C31:D31"/>
    <mergeCell ref="C29:D29"/>
    <mergeCell ref="E26:F26"/>
    <mergeCell ref="B24:F24"/>
    <mergeCell ref="A22:F22"/>
    <mergeCell ref="A24:A29"/>
    <mergeCell ref="C26:D26"/>
    <mergeCell ref="E29:F29"/>
    <mergeCell ref="E28:F28"/>
    <mergeCell ref="C28:D28"/>
    <mergeCell ref="A9:A13"/>
    <mergeCell ref="A6:A7"/>
    <mergeCell ref="C27:D27"/>
    <mergeCell ref="C20:F20"/>
    <mergeCell ref="E27:F27"/>
    <mergeCell ref="E23:F23"/>
    <mergeCell ref="E25:F25"/>
    <mergeCell ref="C23:D23"/>
    <mergeCell ref="C25:D25"/>
    <mergeCell ref="A53:F53"/>
    <mergeCell ref="A44:F44"/>
    <mergeCell ref="C52:F52"/>
    <mergeCell ref="A48:F48"/>
    <mergeCell ref="C42:F42"/>
    <mergeCell ref="A40:F40"/>
    <mergeCell ref="A39:F39"/>
    <mergeCell ref="A37:A38"/>
    <mergeCell ref="B37:B38"/>
    <mergeCell ref="C38:F38"/>
    <mergeCell ref="C37:F37"/>
    <mergeCell ref="A1:F1"/>
    <mergeCell ref="A4:F4"/>
    <mergeCell ref="A3:F3"/>
    <mergeCell ref="A18:A19"/>
    <mergeCell ref="C5:E5"/>
    <mergeCell ref="C10:E10"/>
    <mergeCell ref="C15:E15"/>
    <mergeCell ref="A17:F17"/>
    <mergeCell ref="C18:F18"/>
    <mergeCell ref="C14:E14"/>
    <mergeCell ref="C7:E7"/>
    <mergeCell ref="C8:E8"/>
    <mergeCell ref="C19:F19"/>
    <mergeCell ref="C6:E6"/>
    <mergeCell ref="A2:F2"/>
    <mergeCell ref="B9:B13"/>
  </mergeCells>
  <phoneticPr fontId="10"/>
  <dataValidations count="1">
    <dataValidation type="list" allowBlank="1" showInputMessage="1" showErrorMessage="1" sqref="C45" xr:uid="{00000000-0002-0000-0600-000000000000}">
      <formula1>"個品別検証方式,システム認証方式"</formula1>
    </dataValidation>
  </dataValidations>
  <printOptions horizontalCentered="1"/>
  <pageMargins left="0.23622047244094491" right="0.23622047244094491" top="0.74803149606299213" bottom="0.74803149606299213" header="0.31496062992125984" footer="0.31496062992125984"/>
  <pageSetup paperSize="9" scale="85" fitToHeight="0" orientation="portrait" r:id="rId1"/>
  <rowBreaks count="1" manualBreakCount="1">
    <brk id="38" max="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107"/>
  <sheetViews>
    <sheetView view="pageBreakPreview" topLeftCell="A12" zoomScale="70" zoomScaleNormal="85" zoomScaleSheetLayoutView="70" workbookViewId="0">
      <selection activeCell="J29" sqref="J29"/>
    </sheetView>
  </sheetViews>
  <sheetFormatPr defaultRowHeight="13.5"/>
  <cols>
    <col min="1" max="1" width="12.875" style="365" customWidth="1"/>
    <col min="2" max="2" width="13.75" style="69" customWidth="1"/>
    <col min="3" max="3" width="13.625" style="65" customWidth="1"/>
    <col min="4" max="4" width="5.75" style="2" customWidth="1"/>
    <col min="5" max="5" width="13.75" style="61" customWidth="1"/>
    <col min="6" max="6" width="10.625" style="5" customWidth="1"/>
    <col min="7" max="7" width="13.5" style="5" customWidth="1"/>
    <col min="8" max="8" width="5.125" style="1" customWidth="1"/>
    <col min="9" max="9" width="8.25" style="1" bestFit="1" customWidth="1"/>
    <col min="10" max="10" width="15.5" style="1" customWidth="1"/>
    <col min="11" max="11" width="20" style="61" customWidth="1"/>
    <col min="12" max="12" width="10.625" style="5" customWidth="1"/>
    <col min="13" max="13" width="15.5" style="5" customWidth="1"/>
    <col min="14" max="14" width="5.125" style="1" customWidth="1"/>
    <col min="15" max="15" width="10.625" style="5" customWidth="1"/>
    <col min="16" max="16" width="14.125" style="1" customWidth="1"/>
    <col min="17" max="17" width="12.125" style="82" customWidth="1"/>
    <col min="18" max="18" width="12.875" style="82" customWidth="1"/>
  </cols>
  <sheetData>
    <row r="1" spans="1:23" s="3" customFormat="1" ht="27" customHeight="1">
      <c r="A1" s="503" t="s">
        <v>824</v>
      </c>
      <c r="B1" s="6" t="s">
        <v>50</v>
      </c>
      <c r="C1" s="52"/>
      <c r="D1" s="6"/>
      <c r="E1" s="52"/>
      <c r="F1" s="6"/>
      <c r="G1" s="6"/>
      <c r="H1" s="6"/>
      <c r="I1" s="6"/>
      <c r="J1" s="6"/>
      <c r="K1" s="52"/>
      <c r="L1" s="6"/>
      <c r="M1" s="6"/>
      <c r="N1" s="6"/>
      <c r="O1" s="6"/>
      <c r="Q1" s="77"/>
      <c r="R1" s="83" t="s">
        <v>40</v>
      </c>
    </row>
    <row r="2" spans="1:23" s="3" customFormat="1" ht="15" customHeight="1">
      <c r="A2" s="503" t="s">
        <v>823</v>
      </c>
      <c r="B2" s="52"/>
      <c r="C2" s="52"/>
      <c r="D2" s="6"/>
      <c r="E2" s="52"/>
      <c r="F2" s="6"/>
      <c r="G2" s="6"/>
      <c r="H2" s="6"/>
      <c r="I2" s="6"/>
      <c r="J2" s="6"/>
      <c r="K2" s="52"/>
      <c r="L2" s="6"/>
      <c r="M2" s="6"/>
      <c r="N2" s="6"/>
      <c r="O2" s="6"/>
      <c r="P2" s="47"/>
      <c r="Q2" s="77"/>
      <c r="R2" s="77"/>
    </row>
    <row r="3" spans="1:23" s="48" customFormat="1" ht="54" customHeight="1">
      <c r="A3" s="503" t="s">
        <v>824</v>
      </c>
      <c r="B3" s="949" t="s">
        <v>132</v>
      </c>
      <c r="C3" s="950"/>
      <c r="D3" s="950"/>
      <c r="E3" s="950"/>
      <c r="F3" s="950"/>
      <c r="G3" s="950"/>
      <c r="H3" s="950"/>
      <c r="I3" s="950"/>
      <c r="J3" s="950"/>
      <c r="K3" s="950"/>
      <c r="L3" s="950"/>
      <c r="M3" s="950"/>
      <c r="N3" s="950"/>
      <c r="O3" s="950"/>
      <c r="P3" s="49"/>
      <c r="Q3" s="79"/>
      <c r="R3" s="78"/>
    </row>
    <row r="4" spans="1:23" s="11" customFormat="1" ht="15" customHeight="1" thickBot="1">
      <c r="A4" s="503" t="s">
        <v>823</v>
      </c>
      <c r="B4" s="66"/>
      <c r="C4" s="53"/>
      <c r="E4" s="53"/>
      <c r="F4" s="13"/>
      <c r="G4" s="13"/>
      <c r="H4" s="12"/>
      <c r="I4" s="12"/>
      <c r="J4" s="12"/>
      <c r="K4" s="53"/>
      <c r="L4" s="12"/>
      <c r="M4" s="12"/>
      <c r="N4" s="12"/>
      <c r="O4" s="12"/>
      <c r="P4" s="12"/>
      <c r="Q4" s="79"/>
      <c r="R4" s="78"/>
    </row>
    <row r="5" spans="1:23" s="11" customFormat="1" ht="21" customHeight="1">
      <c r="A5" s="503" t="s">
        <v>824</v>
      </c>
      <c r="B5" s="66"/>
      <c r="C5" s="955" t="s">
        <v>23</v>
      </c>
      <c r="D5" s="929"/>
      <c r="E5" s="929"/>
      <c r="F5" s="929"/>
      <c r="G5" s="956"/>
      <c r="H5" s="12"/>
      <c r="K5" s="952" t="s">
        <v>24</v>
      </c>
      <c r="L5" s="953"/>
      <c r="M5" s="953"/>
      <c r="N5" s="953"/>
      <c r="O5" s="954"/>
      <c r="P5" s="12"/>
      <c r="Q5" s="79"/>
      <c r="R5" s="78"/>
    </row>
    <row r="6" spans="1:23" s="11" customFormat="1" ht="21" customHeight="1">
      <c r="A6" s="503" t="s">
        <v>823</v>
      </c>
      <c r="B6" s="66"/>
      <c r="C6" s="92" t="s">
        <v>25</v>
      </c>
      <c r="D6" s="958" t="s">
        <v>95</v>
      </c>
      <c r="E6" s="959"/>
      <c r="F6" s="959"/>
      <c r="G6" s="960"/>
      <c r="H6" s="12"/>
      <c r="K6" s="92" t="s">
        <v>69</v>
      </c>
      <c r="L6" s="946" t="s">
        <v>70</v>
      </c>
      <c r="M6" s="947"/>
      <c r="N6" s="947"/>
      <c r="O6" s="948"/>
      <c r="P6" s="12"/>
      <c r="Q6" s="274"/>
    </row>
    <row r="7" spans="1:23" s="11" customFormat="1" ht="21" customHeight="1" thickBot="1">
      <c r="A7" s="503" t="s">
        <v>824</v>
      </c>
      <c r="B7" s="66"/>
      <c r="C7" s="99" t="s">
        <v>57</v>
      </c>
      <c r="D7" s="961" t="s">
        <v>96</v>
      </c>
      <c r="E7" s="962"/>
      <c r="F7" s="962"/>
      <c r="G7" s="963"/>
      <c r="H7" s="12"/>
      <c r="K7" s="92" t="s">
        <v>94</v>
      </c>
      <c r="L7" s="946" t="s">
        <v>133</v>
      </c>
      <c r="M7" s="947"/>
      <c r="N7" s="947"/>
      <c r="O7" s="948"/>
      <c r="P7" s="12"/>
    </row>
    <row r="8" spans="1:23" s="11" customFormat="1" ht="33.75" customHeight="1" thickBot="1">
      <c r="A8" s="503" t="s">
        <v>823</v>
      </c>
      <c r="B8" s="66"/>
      <c r="C8" s="93"/>
      <c r="D8" s="957"/>
      <c r="E8" s="957"/>
      <c r="F8" s="957"/>
      <c r="G8" s="957"/>
      <c r="H8" s="12"/>
      <c r="K8" s="62" t="s">
        <v>57</v>
      </c>
      <c r="L8" s="964" t="s">
        <v>134</v>
      </c>
      <c r="M8" s="965"/>
      <c r="N8" s="965"/>
      <c r="O8" s="966"/>
      <c r="P8" s="12"/>
    </row>
    <row r="9" spans="1:23" s="11" customFormat="1" ht="21" customHeight="1" thickBot="1">
      <c r="A9" s="503" t="s">
        <v>824</v>
      </c>
      <c r="B9" s="951" t="s">
        <v>26</v>
      </c>
      <c r="C9" s="951"/>
      <c r="D9" s="951"/>
      <c r="E9" s="76" t="s">
        <v>53</v>
      </c>
      <c r="F9" s="50"/>
      <c r="G9" s="50"/>
      <c r="H9" s="50"/>
      <c r="I9" s="50"/>
      <c r="J9" s="50"/>
      <c r="K9" s="54"/>
      <c r="L9" s="50"/>
      <c r="M9" s="50"/>
      <c r="N9" s="50"/>
      <c r="O9" s="50"/>
      <c r="P9" s="7"/>
      <c r="Q9" s="78"/>
      <c r="R9" s="78"/>
      <c r="S9" s="11" t="s">
        <v>402</v>
      </c>
    </row>
    <row r="10" spans="1:23" s="14" customFormat="1" ht="22.5" customHeight="1">
      <c r="A10" s="503" t="s">
        <v>823</v>
      </c>
      <c r="B10" s="936" t="s">
        <v>10</v>
      </c>
      <c r="C10" s="938" t="s">
        <v>97</v>
      </c>
      <c r="D10" s="928" t="s">
        <v>17</v>
      </c>
      <c r="E10" s="929"/>
      <c r="F10" s="929"/>
      <c r="G10" s="929"/>
      <c r="H10" s="930"/>
      <c r="I10" s="928" t="s">
        <v>18</v>
      </c>
      <c r="J10" s="931"/>
      <c r="K10" s="931"/>
      <c r="L10" s="931"/>
      <c r="M10" s="931"/>
      <c r="N10" s="932"/>
      <c r="O10" s="15" t="s">
        <v>33</v>
      </c>
      <c r="P10" s="933" t="s">
        <v>32</v>
      </c>
      <c r="Q10" s="944" t="s">
        <v>78</v>
      </c>
      <c r="R10" s="944" t="s">
        <v>79</v>
      </c>
    </row>
    <row r="11" spans="1:23" s="14" customFormat="1" ht="36" customHeight="1" thickBot="1">
      <c r="A11" s="503" t="s">
        <v>824</v>
      </c>
      <c r="B11" s="937"/>
      <c r="C11" s="939"/>
      <c r="D11" s="16" t="s">
        <v>19</v>
      </c>
      <c r="E11" s="55" t="s">
        <v>16</v>
      </c>
      <c r="F11" s="17" t="s">
        <v>8</v>
      </c>
      <c r="G11" s="16" t="s">
        <v>15</v>
      </c>
      <c r="H11" s="18" t="s">
        <v>21</v>
      </c>
      <c r="I11" s="16" t="s">
        <v>19</v>
      </c>
      <c r="J11" s="170" t="s">
        <v>139</v>
      </c>
      <c r="K11" s="55" t="s">
        <v>22</v>
      </c>
      <c r="L11" s="17" t="s">
        <v>8</v>
      </c>
      <c r="M11" s="17" t="s">
        <v>15</v>
      </c>
      <c r="N11" s="18" t="s">
        <v>21</v>
      </c>
      <c r="O11" s="17" t="s">
        <v>9</v>
      </c>
      <c r="P11" s="934"/>
      <c r="Q11" s="945"/>
      <c r="R11" s="945"/>
    </row>
    <row r="12" spans="1:23" s="11" customFormat="1" ht="45" customHeight="1" thickTop="1">
      <c r="A12" s="503" t="str">
        <f t="shared" ref="A12:A75" si="0">IF(F12=0,"","●")</f>
        <v/>
      </c>
      <c r="B12" s="189" t="s">
        <v>333</v>
      </c>
      <c r="C12" s="315" t="s">
        <v>191</v>
      </c>
      <c r="D12" s="290" t="s">
        <v>25</v>
      </c>
      <c r="E12" s="310" t="s">
        <v>335</v>
      </c>
      <c r="F12" s="295">
        <f>'(5)データの根拠'!H5</f>
        <v>0</v>
      </c>
      <c r="G12" s="295" t="str">
        <f>'(5)データの根拠'!I5</f>
        <v>頁</v>
      </c>
      <c r="H12" s="295" t="str">
        <f>'(5)データの根拠'!A5</f>
        <v>Ａ1</v>
      </c>
      <c r="I12" s="25" t="s">
        <v>57</v>
      </c>
      <c r="J12" s="290" t="s">
        <v>195</v>
      </c>
      <c r="K12" s="292" t="s">
        <v>194</v>
      </c>
      <c r="L12" s="291">
        <v>0.40500000000000003</v>
      </c>
      <c r="M12" s="293" t="s">
        <v>193</v>
      </c>
      <c r="N12" s="300" t="str">
        <f>VLOOKUP(I12,原単位一覧!$A$168:B170,2,FALSE)</f>
        <v>ｃ1</v>
      </c>
      <c r="O12" s="71">
        <f>IF(IF(F12=0,0,ROUND(F12/10^INT(LOG(F12)),2)*10^INT(LOG(F12)))*IF(L12=0,0,ROUND(L12/10^INT(LOG(L12)),2)*10^INT(LOG(L12)))=0,0,ROUND(IF(F12=0,0,ROUND(F12/10^INT(LOG(F12)),2)*10^INT(LOG(F12)))*IF(L12=0,0,ROUND(L12/10^INT(LOG(L12)),2)*10^INT(LOG(L12)))/10^INT(LOG(IF(F12=0,0,ROUND(F12/10^INT(LOG(F12)),2)*10^INT(LOG(F12)))*IF(L12=0,0,ROUND(L12/10^INT(LOG(L12)),2)*10^INT(LOG(L12))))),2)*10^INT(LOG(IF(F12=0,0,ROUND(F12/10^INT(LOG(F12)),2)*10^INT(LOG(F12)))*IF(L12=0,0,ROUND(L12/10^INT(LOG(L12)),2)*10^INT(LOG(L12))))))</f>
        <v>0</v>
      </c>
      <c r="P12" s="23"/>
      <c r="Q12" s="88" t="e">
        <f t="shared" ref="Q12:Q36" si="1">O12/$O$37</f>
        <v>#DIV/0!</v>
      </c>
      <c r="R12" s="88" t="e">
        <f t="shared" ref="R12:R36" si="2">O12/$Q$107</f>
        <v>#DIV/0!</v>
      </c>
      <c r="S12" s="70"/>
      <c r="T12" s="70"/>
      <c r="W12" s="70"/>
    </row>
    <row r="13" spans="1:23" s="11" customFormat="1" ht="45" customHeight="1">
      <c r="A13" s="503" t="str">
        <f t="shared" si="0"/>
        <v/>
      </c>
      <c r="B13" s="190" t="s">
        <v>388</v>
      </c>
      <c r="C13" s="63" t="s">
        <v>389</v>
      </c>
      <c r="D13" s="290" t="s">
        <v>25</v>
      </c>
      <c r="E13" s="317" t="str">
        <f>'(5)データの根拠'!D6</f>
        <v>PS版①</v>
      </c>
      <c r="F13" s="295">
        <f>'(5)データの根拠'!H6</f>
        <v>0</v>
      </c>
      <c r="G13" s="295" t="str">
        <f>'(5)データの根拠'!I6</f>
        <v>㎡</v>
      </c>
      <c r="H13" s="295" t="str">
        <f>'(5)データの根拠'!A6</f>
        <v>Ａ2</v>
      </c>
      <c r="I13" s="299" t="str">
        <f>VLOOKUP(K13,原単位一覧!$B$9:$F$33,4,FALSE)</f>
        <v>その他</v>
      </c>
      <c r="J13" s="300" t="str">
        <f>VLOOKUP(K13,原単位一覧!$B$9:$F$33,5,FALSE)</f>
        <v>ＣＲ-ＡＦ04-12002</v>
      </c>
      <c r="K13" s="302" t="str">
        <f>個別製品情報入力シート!E50</f>
        <v>富士ﾌｲﾙﾑ現像ありPS版（0.30㎜）100％ﾘｻｲｸﾙｱﾙﾐ</v>
      </c>
      <c r="L13" s="303">
        <f>VLOOKUP(K13,原単位一覧!$B$8:$D$33,2,FALSE)</f>
        <v>4.7</v>
      </c>
      <c r="M13" s="303" t="str">
        <f>VLOOKUP(K13,原単位一覧!$B$8:$D$33,3,FALSE)</f>
        <v>ｋｇ-CO2/㎡</v>
      </c>
      <c r="N13" s="300" t="str">
        <f>VLOOKUP(I13,原単位一覧!$A$168:B171,2,FALSE)</f>
        <v>ｃ1</v>
      </c>
      <c r="O13" s="71">
        <f t="shared" ref="O13:O29" si="3">IF(IF(F13=0,0,ROUND(F13/10^INT(LOG(F13)),2)*10^INT(LOG(F13)))*IF(L13=0,0,ROUND(L13/10^INT(LOG(L13)),2)*10^INT(LOG(L13)))=0,0,ROUND(IF(F13=0,0,ROUND(F13/10^INT(LOG(F13)),2)*10^INT(LOG(F13)))*IF(L13=0,0,ROUND(L13/10^INT(LOG(L13)),2)*10^INT(LOG(L13)))/10^INT(LOG(IF(F13=0,0,ROUND(F13/10^INT(LOG(F13)),2)*10^INT(LOG(F13)))*IF(L13=0,0,ROUND(L13/10^INT(LOG(L13)),2)*10^INT(LOG(L13))))),2)*10^INT(LOG(IF(F13=0,0,ROUND(F13/10^INT(LOG(F13)),2)*10^INT(LOG(F13)))*IF(L13=0,0,ROUND(L13/10^INT(LOG(L13)),2)*10^INT(LOG(L13))))))</f>
        <v>0</v>
      </c>
      <c r="P13" s="24"/>
      <c r="Q13" s="94" t="e">
        <f t="shared" si="1"/>
        <v>#DIV/0!</v>
      </c>
      <c r="R13" s="94" t="e">
        <f t="shared" si="2"/>
        <v>#DIV/0!</v>
      </c>
      <c r="S13" s="70"/>
      <c r="T13" s="70"/>
      <c r="W13" s="70"/>
    </row>
    <row r="14" spans="1:23" s="11" customFormat="1" ht="45" customHeight="1">
      <c r="A14" s="503" t="str">
        <f t="shared" si="0"/>
        <v/>
      </c>
      <c r="B14" s="190" t="s">
        <v>388</v>
      </c>
      <c r="C14" s="63" t="s">
        <v>389</v>
      </c>
      <c r="D14" s="290" t="s">
        <v>25</v>
      </c>
      <c r="E14" s="317" t="str">
        <f>'(5)データの根拠'!D7</f>
        <v>PS版①</v>
      </c>
      <c r="F14" s="295">
        <f>'(5)データの根拠'!H7</f>
        <v>0</v>
      </c>
      <c r="G14" s="295" t="str">
        <f>'(5)データの根拠'!I7</f>
        <v>㎡</v>
      </c>
      <c r="H14" s="295" t="str">
        <f>'(5)データの根拠'!A7</f>
        <v>Ａ3</v>
      </c>
      <c r="I14" s="299" t="str">
        <f>VLOOKUP(K14,原単位一覧!$B$9:$F$33,4,FALSE)</f>
        <v>その他</v>
      </c>
      <c r="J14" s="300" t="str">
        <f>VLOOKUP(K14,原単位一覧!$B$9:$F$33,5,FALSE)</f>
        <v>ＣＲ-ＡＦ04-13001</v>
      </c>
      <c r="K14" s="302" t="str">
        <f>個別製品情報入力シート!F50</f>
        <v>東レ水なし平板（0.15㎜）</v>
      </c>
      <c r="L14" s="303">
        <f>VLOOKUP(K14,原単位一覧!$B$8:$D$33,2,FALSE)</f>
        <v>7</v>
      </c>
      <c r="M14" s="303" t="str">
        <f>VLOOKUP(K14,原単位一覧!$B$8:$D$33,3,FALSE)</f>
        <v>ｋｇ-CO2/㎡</v>
      </c>
      <c r="N14" s="300" t="str">
        <f>VLOOKUP(I14,原単位一覧!$A$168:B171,2,FALSE)</f>
        <v>ｃ1</v>
      </c>
      <c r="O14" s="71">
        <f>IF(IF(F14=0,0,ROUND(F14/10^INT(LOG(F14)),2)*10^INT(LOG(F14)))*IF(L14=0,0,ROUND(L14/10^INT(LOG(L14)),2)*10^INT(LOG(L14)))=0,0,ROUND(IF(F14=0,0,ROUND(F14/10^INT(LOG(F14)),2)*10^INT(LOG(F14)))*IF(L14=0,0,ROUND(L14/10^INT(LOG(L14)),2)*10^INT(LOG(L14)))/10^INT(LOG(IF(F14=0,0,ROUND(F14/10^INT(LOG(F14)),2)*10^INT(LOG(F14)))*IF(L14=0,0,ROUND(L14/10^INT(LOG(L14)),2)*10^INT(LOG(L14))))),2)*10^INT(LOG(IF(F14=0,0,ROUND(F14/10^INT(LOG(F14)),2)*10^INT(LOG(F14)))*IF(L14=0,0,ROUND(L14/10^INT(LOG(L14)),2)*10^INT(LOG(L14))))))</f>
        <v>0</v>
      </c>
      <c r="P14" s="24"/>
      <c r="Q14" s="94" t="e">
        <f t="shared" si="1"/>
        <v>#DIV/0!</v>
      </c>
      <c r="R14" s="94" t="e">
        <f t="shared" si="2"/>
        <v>#DIV/0!</v>
      </c>
      <c r="S14" s="70"/>
      <c r="T14" s="70"/>
      <c r="W14" s="70"/>
    </row>
    <row r="15" spans="1:23" s="11" customFormat="1" ht="45" customHeight="1">
      <c r="A15" s="503" t="str">
        <f t="shared" si="0"/>
        <v/>
      </c>
      <c r="B15" s="190" t="s">
        <v>388</v>
      </c>
      <c r="C15" s="63" t="s">
        <v>389</v>
      </c>
      <c r="D15" s="290" t="s">
        <v>25</v>
      </c>
      <c r="E15" s="317" t="str">
        <f>'(5)データの根拠'!D8</f>
        <v>PS版①</v>
      </c>
      <c r="F15" s="295">
        <f>'(5)データの根拠'!H8</f>
        <v>0</v>
      </c>
      <c r="G15" s="295" t="str">
        <f>'(5)データの根拠'!I8</f>
        <v>㎡</v>
      </c>
      <c r="H15" s="295" t="str">
        <f>'(5)データの根拠'!A8</f>
        <v>Ａ4</v>
      </c>
      <c r="I15" s="299" t="str">
        <f>VLOOKUP(K15,原単位一覧!$B$9:$F$33,4,FALSE)</f>
        <v>利用</v>
      </c>
      <c r="J15" s="300" t="str">
        <f>VLOOKUP(K15,原単位一覧!$B$9:$F$33,5,FALSE)</f>
        <v>A-JP317003</v>
      </c>
      <c r="K15" s="302" t="str">
        <f>個別製品情報入力シート!G50</f>
        <v>PS版（0.4㎜・使用含む）</v>
      </c>
      <c r="L15" s="303">
        <f>VLOOKUP(K15,原単位一覧!$B$8:$D$33,2,FALSE)</f>
        <v>13.2</v>
      </c>
      <c r="M15" s="303" t="str">
        <f>VLOOKUP(K15,原単位一覧!$B$8:$D$33,3,FALSE)</f>
        <v>ｋｇ-CO2/㎡</v>
      </c>
      <c r="N15" s="300" t="str">
        <f>VLOOKUP(I15,原単位一覧!$A$168:B171,2,FALSE)</f>
        <v>ｂ1</v>
      </c>
      <c r="O15" s="71">
        <f t="shared" si="3"/>
        <v>0</v>
      </c>
      <c r="P15" s="24"/>
      <c r="Q15" s="94" t="e">
        <f t="shared" si="1"/>
        <v>#DIV/0!</v>
      </c>
      <c r="R15" s="94" t="e">
        <f t="shared" si="2"/>
        <v>#DIV/0!</v>
      </c>
      <c r="S15" s="70"/>
      <c r="T15" s="70"/>
      <c r="W15" s="70"/>
    </row>
    <row r="16" spans="1:23" s="11" customFormat="1" ht="45" customHeight="1">
      <c r="A16" s="503" t="str">
        <f t="shared" si="0"/>
        <v/>
      </c>
      <c r="B16" s="190" t="s">
        <v>388</v>
      </c>
      <c r="C16" s="63" t="s">
        <v>389</v>
      </c>
      <c r="D16" s="290" t="s">
        <v>25</v>
      </c>
      <c r="E16" s="317" t="str">
        <f>'(5)データの根拠'!D9</f>
        <v>PS版①</v>
      </c>
      <c r="F16" s="295">
        <f>'(5)データの根拠'!H9</f>
        <v>0</v>
      </c>
      <c r="G16" s="295" t="str">
        <f>'(5)データの根拠'!I9</f>
        <v>㎡</v>
      </c>
      <c r="H16" s="295" t="str">
        <f>'(5)データの根拠'!A9</f>
        <v>Ａ5</v>
      </c>
      <c r="I16" s="299" t="str">
        <f>VLOOKUP(K16,原単位一覧!$B$9:$F$33,4,FALSE)</f>
        <v>その他</v>
      </c>
      <c r="J16" s="300" t="str">
        <f>VLOOKUP(K16,原単位一覧!$B$9:$F$33,5,FALSE)</f>
        <v>ＣＲ-ＡＦ04-12004-A</v>
      </c>
      <c r="K16" s="302" t="str">
        <f>個別製品情報入力シート!H50</f>
        <v>富士ﾌｲﾙﾑ現像なしPS版（0.20㎜）一部ﾘｻｲｸﾙｱﾙﾐ</v>
      </c>
      <c r="L16" s="303">
        <f>VLOOKUP(K16,原単位一覧!$B$8:$D$33,2,FALSE)</f>
        <v>7.64</v>
      </c>
      <c r="M16" s="303" t="str">
        <f>VLOOKUP(K16,原単位一覧!$B$8:$D$33,3,FALSE)</f>
        <v>ｋｇ-CO2/㎡</v>
      </c>
      <c r="N16" s="300" t="str">
        <f>VLOOKUP(I16,原単位一覧!$A$168:B171,2,FALSE)</f>
        <v>ｃ1</v>
      </c>
      <c r="O16" s="71">
        <f t="shared" si="3"/>
        <v>0</v>
      </c>
      <c r="P16" s="24"/>
      <c r="Q16" s="94" t="e">
        <f t="shared" si="1"/>
        <v>#DIV/0!</v>
      </c>
      <c r="R16" s="94" t="e">
        <f t="shared" si="2"/>
        <v>#DIV/0!</v>
      </c>
      <c r="S16" s="70"/>
      <c r="T16" s="70"/>
      <c r="W16" s="70"/>
    </row>
    <row r="17" spans="1:23" s="11" customFormat="1" ht="45" customHeight="1">
      <c r="A17" s="503" t="str">
        <f t="shared" si="0"/>
        <v/>
      </c>
      <c r="B17" s="190" t="s">
        <v>388</v>
      </c>
      <c r="C17" s="63" t="s">
        <v>389</v>
      </c>
      <c r="D17" s="290" t="s">
        <v>25</v>
      </c>
      <c r="E17" s="317" t="str">
        <f>'(5)データの根拠'!D10</f>
        <v>PS版①</v>
      </c>
      <c r="F17" s="295">
        <f>'(5)データの根拠'!H10</f>
        <v>0</v>
      </c>
      <c r="G17" s="295" t="str">
        <f>'(5)データの根拠'!I10</f>
        <v>㎡</v>
      </c>
      <c r="H17" s="295" t="str">
        <f>'(5)データの根拠'!A10</f>
        <v>Ａ6</v>
      </c>
      <c r="I17" s="299" t="str">
        <f>VLOOKUP(K17,原単位一覧!$B$9:$F$33,4,FALSE)</f>
        <v>その他</v>
      </c>
      <c r="J17" s="300" t="str">
        <f>VLOOKUP(K17,原単位一覧!$B$9:$F$33,5,FALSE)</f>
        <v>ＣＲ-ＡＦ04-12001</v>
      </c>
      <c r="K17" s="302" t="str">
        <f>個別製品情報入力シート!I50</f>
        <v>富士ﾌｲﾙﾑ現像ありPS版（0.20㎜）一部ﾘｻｲｸﾙｱﾙﾐ</v>
      </c>
      <c r="L17" s="303">
        <f>VLOOKUP(K17,原単位一覧!$B$8:$D$33,2,FALSE)</f>
        <v>7.82</v>
      </c>
      <c r="M17" s="303" t="str">
        <f>VLOOKUP(K17,原単位一覧!$B$8:$D$33,3,FALSE)</f>
        <v>ｋｇ-CO2/㎡</v>
      </c>
      <c r="N17" s="300" t="str">
        <f>VLOOKUP(I17,原単位一覧!$A$168:B185,2,FALSE)</f>
        <v>ｃ1</v>
      </c>
      <c r="O17" s="71">
        <f t="shared" si="3"/>
        <v>0</v>
      </c>
      <c r="P17" s="24"/>
      <c r="Q17" s="94" t="e">
        <f t="shared" si="1"/>
        <v>#DIV/0!</v>
      </c>
      <c r="R17" s="94" t="e">
        <f t="shared" si="2"/>
        <v>#DIV/0!</v>
      </c>
      <c r="S17" s="70"/>
      <c r="T17" s="70"/>
      <c r="W17" s="70"/>
    </row>
    <row r="18" spans="1:23" s="11" customFormat="1" ht="45" customHeight="1">
      <c r="A18" s="503" t="str">
        <f t="shared" si="0"/>
        <v/>
      </c>
      <c r="B18" s="190" t="s">
        <v>388</v>
      </c>
      <c r="C18" s="63" t="s">
        <v>387</v>
      </c>
      <c r="D18" s="290" t="s">
        <v>25</v>
      </c>
      <c r="E18" s="317" t="str">
        <f>'(5)データの根拠'!D11</f>
        <v>被印刷物①</v>
      </c>
      <c r="F18" s="295">
        <f>'(5)データの根拠'!H11</f>
        <v>0</v>
      </c>
      <c r="G18" s="295" t="str">
        <f>'(5)データの根拠'!I11</f>
        <v>kg</v>
      </c>
      <c r="H18" s="295" t="str">
        <f>'(5)データの根拠'!A11</f>
        <v>Ａ7</v>
      </c>
      <c r="I18" s="300" t="str">
        <f>VLOOKUP(K18,原単位一覧!$B$4:$F$5,4,FALSE)</f>
        <v>基本</v>
      </c>
      <c r="J18" s="300" t="str">
        <f>VLOOKUP(K18,原単位一覧!$B$4:$F$5,5,FALSE)</f>
        <v>B-JP309006</v>
      </c>
      <c r="K18" s="304" t="str">
        <f>個別製品情報入力シート!E24</f>
        <v>情報用紙</v>
      </c>
      <c r="L18" s="303">
        <f>VLOOKUP(K18,原単位一覧!$B$4:$F$5,2,FALSE)</f>
        <v>1.93</v>
      </c>
      <c r="M18" s="305" t="str">
        <f>VLOOKUP(K18,原単位一覧!$B$4:$F$5,3,FALSE)</f>
        <v>ｋｇ-CO2/㎏</v>
      </c>
      <c r="N18" s="300" t="str">
        <f>VLOOKUP(I18,原単位一覧!$A$168:B186,2,FALSE)</f>
        <v>ａ1</v>
      </c>
      <c r="O18" s="71">
        <f>IF(IF(F18=0,0,ROUND(F18/10^INT(LOG(F18)),2)*10^INT(LOG(F18)))*IF(L18=0,0,ROUND(L18/10^INT(LOG(L18)),2)*10^INT(LOG(L18)))=0,0,ROUND(IF(F18=0,0,ROUND(F18/10^INT(LOG(F18)),2)*10^INT(LOG(F18)))*IF(L18=0,0,ROUND(L18/10^INT(LOG(L18)),2)*10^INT(LOG(L18)))/10^INT(LOG(IF(F18=0,0,ROUND(F18/10^INT(LOG(F18)),2)*10^INT(LOG(F18)))*IF(L18=0,0,ROUND(L18/10^INT(LOG(L18)),2)*10^INT(LOG(L18))))),2)*10^INT(LOG(IF(F18=0,0,ROUND(F18/10^INT(LOG(F18)),2)*10^INT(LOG(F18)))*IF(L18=0,0,ROUND(L18/10^INT(LOG(L18)),2)*10^INT(LOG(L18))))))</f>
        <v>0</v>
      </c>
      <c r="P18" s="24"/>
      <c r="Q18" s="94" t="e">
        <f t="shared" si="1"/>
        <v>#DIV/0!</v>
      </c>
      <c r="R18" s="94" t="e">
        <f t="shared" si="2"/>
        <v>#DIV/0!</v>
      </c>
      <c r="S18" s="343"/>
      <c r="T18" s="70"/>
      <c r="W18" s="70"/>
    </row>
    <row r="19" spans="1:23" s="11" customFormat="1" ht="45" customHeight="1">
      <c r="A19" s="503" t="str">
        <f t="shared" si="0"/>
        <v/>
      </c>
      <c r="B19" s="190" t="s">
        <v>388</v>
      </c>
      <c r="C19" s="63" t="s">
        <v>387</v>
      </c>
      <c r="D19" s="290" t="s">
        <v>25</v>
      </c>
      <c r="E19" s="317" t="str">
        <f>'(5)データの根拠'!D12</f>
        <v>被印刷物②</v>
      </c>
      <c r="F19" s="295">
        <f>'(5)データの根拠'!H12</f>
        <v>0</v>
      </c>
      <c r="G19" s="295" t="str">
        <f>'(5)データの根拠'!I12</f>
        <v>kg</v>
      </c>
      <c r="H19" s="295" t="str">
        <f>'(5)データの根拠'!A12</f>
        <v>Ａ8</v>
      </c>
      <c r="I19" s="300" t="str">
        <f>VLOOKUP(K19,原単位一覧!$B$4:$F$5,4,FALSE)</f>
        <v>基本</v>
      </c>
      <c r="J19" s="300" t="str">
        <f>VLOOKUP(K19,原単位一覧!$B$4:$F$5,5,FALSE)</f>
        <v>B-JP309006</v>
      </c>
      <c r="K19" s="304" t="str">
        <f>個別製品情報入力シート!F24</f>
        <v>情報用紙</v>
      </c>
      <c r="L19" s="303">
        <f>VLOOKUP(K19,原単位一覧!$B$4:$F$5,2,FALSE)</f>
        <v>1.93</v>
      </c>
      <c r="M19" s="305" t="str">
        <f>VLOOKUP(K19,原単位一覧!$B$4:$F$5,3,FALSE)</f>
        <v>ｋｇ-CO2/㎏</v>
      </c>
      <c r="N19" s="300" t="str">
        <f>VLOOKUP(I19,原単位一覧!$A$168:B187,2,FALSE)</f>
        <v>ａ1</v>
      </c>
      <c r="O19" s="71">
        <f>IF(IF(F19=0,0,ROUND(F19/10^INT(LOG(F19)),2)*10^INT(LOG(F19)))*IF(L19=0,0,ROUND(L19/10^INT(LOG(L19)),2)*10^INT(LOG(L19)))=0,0,ROUND(IF(F19=0,0,ROUND(F19/10^INT(LOG(F19)),2)*10^INT(LOG(F19)))*IF(L19=0,0,ROUND(L19/10^INT(LOG(L19)),2)*10^INT(LOG(L19)))/10^INT(LOG(IF(F19=0,0,ROUND(F19/10^INT(LOG(F19)),2)*10^INT(LOG(F19)))*IF(L19=0,0,ROUND(L19/10^INT(LOG(L19)),2)*10^INT(LOG(L19))))),2)*10^INT(LOG(IF(F19=0,0,ROUND(F19/10^INT(LOG(F19)),2)*10^INT(LOG(F19)))*IF(L19=0,0,ROUND(L19/10^INT(LOG(L19)),2)*10^INT(LOG(L19))))))</f>
        <v>0</v>
      </c>
      <c r="P19" s="24"/>
      <c r="Q19" s="94" t="e">
        <f t="shared" si="1"/>
        <v>#DIV/0!</v>
      </c>
      <c r="R19" s="94" t="e">
        <f t="shared" si="2"/>
        <v>#DIV/0!</v>
      </c>
      <c r="S19" s="343" t="s">
        <v>771</v>
      </c>
      <c r="T19" s="70"/>
      <c r="W19" s="70"/>
    </row>
    <row r="20" spans="1:23" s="11" customFormat="1" ht="45" customHeight="1">
      <c r="A20" s="503" t="str">
        <f t="shared" si="0"/>
        <v/>
      </c>
      <c r="B20" s="190" t="s">
        <v>388</v>
      </c>
      <c r="C20" s="63" t="s">
        <v>387</v>
      </c>
      <c r="D20" s="290" t="s">
        <v>25</v>
      </c>
      <c r="E20" s="317" t="str">
        <f>'(5)データの根拠'!D13</f>
        <v>被印刷物③</v>
      </c>
      <c r="F20" s="295">
        <f>'(5)データの根拠'!H13</f>
        <v>0</v>
      </c>
      <c r="G20" s="295" t="str">
        <f>'(5)データの根拠'!I13</f>
        <v>kg</v>
      </c>
      <c r="H20" s="295" t="str">
        <f>'(5)データの根拠'!A13</f>
        <v>Ａ9</v>
      </c>
      <c r="I20" s="300" t="str">
        <f>VLOOKUP(K20,原単位一覧!$B$4:$F$5,4,FALSE)</f>
        <v>基本</v>
      </c>
      <c r="J20" s="300" t="str">
        <f>VLOOKUP(K20,原単位一覧!$B$4:$F$5,5,FALSE)</f>
        <v>B-JP309006</v>
      </c>
      <c r="K20" s="304" t="str">
        <f>個別製品情報入力シート!G24</f>
        <v>情報用紙</v>
      </c>
      <c r="L20" s="303">
        <f>VLOOKUP(K20,原単位一覧!$B$4:$F$5,2,FALSE)</f>
        <v>1.93</v>
      </c>
      <c r="M20" s="305" t="str">
        <f>VLOOKUP(K20,原単位一覧!$B$4:$F$5,3,FALSE)</f>
        <v>ｋｇ-CO2/㎏</v>
      </c>
      <c r="N20" s="300" t="str">
        <f>VLOOKUP(I20,原単位一覧!$A$168:B188,2,FALSE)</f>
        <v>ａ1</v>
      </c>
      <c r="O20" s="71">
        <f>IF(IF(F20=0,0,ROUND(F20/10^INT(LOG(F20)),2)*10^INT(LOG(F20)))*IF(L20=0,0,ROUND(L20/10^INT(LOG(L20)),2)*10^INT(LOG(L20)))=0,0,ROUND(IF(F20=0,0,ROUND(F20/10^INT(LOG(F20)),2)*10^INT(LOG(F20)))*IF(L20=0,0,ROUND(L20/10^INT(LOG(L20)),2)*10^INT(LOG(L20)))/10^INT(LOG(IF(F20=0,0,ROUND(F20/10^INT(LOG(F20)),2)*10^INT(LOG(F20)))*IF(L20=0,0,ROUND(L20/10^INT(LOG(L20)),2)*10^INT(LOG(L20))))),2)*10^INT(LOG(IF(F20=0,0,ROUND(F20/10^INT(LOG(F20)),2)*10^INT(LOG(F20)))*IF(L20=0,0,ROUND(L20/10^INT(LOG(L20)),2)*10^INT(LOG(L20))))))</f>
        <v>0</v>
      </c>
      <c r="P20" s="24"/>
      <c r="Q20" s="94" t="e">
        <f t="shared" si="1"/>
        <v>#DIV/0!</v>
      </c>
      <c r="R20" s="94" t="e">
        <f t="shared" si="2"/>
        <v>#DIV/0!</v>
      </c>
      <c r="S20" s="344" t="e">
        <f>SUM(R18:R22)</f>
        <v>#DIV/0!</v>
      </c>
      <c r="T20" s="70"/>
      <c r="W20" s="70"/>
    </row>
    <row r="21" spans="1:23" s="11" customFormat="1" ht="45" customHeight="1">
      <c r="A21" s="503" t="str">
        <f t="shared" si="0"/>
        <v/>
      </c>
      <c r="B21" s="190" t="s">
        <v>388</v>
      </c>
      <c r="C21" s="63" t="s">
        <v>387</v>
      </c>
      <c r="D21" s="290" t="s">
        <v>25</v>
      </c>
      <c r="E21" s="317" t="str">
        <f>'(5)データの根拠'!D14</f>
        <v>被印刷物④</v>
      </c>
      <c r="F21" s="295">
        <f>'(5)データの根拠'!H14</f>
        <v>0</v>
      </c>
      <c r="G21" s="295" t="str">
        <f>'(5)データの根拠'!I14</f>
        <v>kg</v>
      </c>
      <c r="H21" s="295" t="str">
        <f>'(5)データの根拠'!A14</f>
        <v>Ａ10</v>
      </c>
      <c r="I21" s="300" t="str">
        <f>VLOOKUP(K21,原単位一覧!$B$4:$F$5,4,FALSE)</f>
        <v>基本</v>
      </c>
      <c r="J21" s="300" t="str">
        <f>VLOOKUP(K21,原単位一覧!$B$4:$F$5,5,FALSE)</f>
        <v>B-JP309006</v>
      </c>
      <c r="K21" s="304" t="str">
        <f>個別製品情報入力シート!H24</f>
        <v>情報用紙</v>
      </c>
      <c r="L21" s="303">
        <f>VLOOKUP(K21,原単位一覧!$B$4:$F$5,2,FALSE)</f>
        <v>1.93</v>
      </c>
      <c r="M21" s="305" t="str">
        <f>VLOOKUP(K21,原単位一覧!$B$4:$F$5,3,FALSE)</f>
        <v>ｋｇ-CO2/㎏</v>
      </c>
      <c r="N21" s="300" t="str">
        <f>VLOOKUP(I21,原単位一覧!$A$168:B189,2,FALSE)</f>
        <v>ａ1</v>
      </c>
      <c r="O21" s="71">
        <f>IF(IF(F21=0,0,ROUND(F21/10^INT(LOG(F21)),2)*10^INT(LOG(F21)))*IF(L21=0,0,ROUND(L21/10^INT(LOG(L21)),2)*10^INT(LOG(L21)))=0,0,ROUND(IF(F21=0,0,ROUND(F21/10^INT(LOG(F21)),2)*10^INT(LOG(F21)))*IF(L21=0,0,ROUND(L21/10^INT(LOG(L21)),2)*10^INT(LOG(L21)))/10^INT(LOG(IF(F21=0,0,ROUND(F21/10^INT(LOG(F21)),2)*10^INT(LOG(F21)))*IF(L21=0,0,ROUND(L21/10^INT(LOG(L21)),2)*10^INT(LOG(L21))))),2)*10^INT(LOG(IF(F21=0,0,ROUND(F21/10^INT(LOG(F21)),2)*10^INT(LOG(F21)))*IF(L21=0,0,ROUND(L21/10^INT(LOG(L21)),2)*10^INT(LOG(L21))))))</f>
        <v>0</v>
      </c>
      <c r="P21" s="24"/>
      <c r="Q21" s="94" t="e">
        <f t="shared" si="1"/>
        <v>#DIV/0!</v>
      </c>
      <c r="R21" s="94" t="e">
        <f t="shared" si="2"/>
        <v>#DIV/0!</v>
      </c>
      <c r="S21" s="343"/>
      <c r="T21" s="70"/>
      <c r="W21" s="70"/>
    </row>
    <row r="22" spans="1:23" s="11" customFormat="1" ht="45" customHeight="1">
      <c r="A22" s="503" t="str">
        <f t="shared" si="0"/>
        <v/>
      </c>
      <c r="B22" s="190" t="s">
        <v>388</v>
      </c>
      <c r="C22" s="63" t="s">
        <v>387</v>
      </c>
      <c r="D22" s="290" t="s">
        <v>25</v>
      </c>
      <c r="E22" s="317" t="str">
        <f>'(5)データの根拠'!D15</f>
        <v>被印刷物⑤</v>
      </c>
      <c r="F22" s="295">
        <f>'(5)データの根拠'!H15</f>
        <v>0</v>
      </c>
      <c r="G22" s="295" t="str">
        <f>'(5)データの根拠'!I15</f>
        <v>kg</v>
      </c>
      <c r="H22" s="295" t="str">
        <f>'(5)データの根拠'!A15</f>
        <v>Ａ11</v>
      </c>
      <c r="I22" s="300" t="str">
        <f>VLOOKUP(K22,原単位一覧!$B$4:$F$5,4,FALSE)</f>
        <v>基本</v>
      </c>
      <c r="J22" s="300" t="str">
        <f>VLOOKUP(K22,原単位一覧!$B$4:$F$5,5,FALSE)</f>
        <v>B-JP309006</v>
      </c>
      <c r="K22" s="304" t="str">
        <f>個別製品情報入力シート!I24</f>
        <v>情報用紙</v>
      </c>
      <c r="L22" s="303">
        <f>VLOOKUP(K22,原単位一覧!$B$4:$F$5,2,FALSE)</f>
        <v>1.93</v>
      </c>
      <c r="M22" s="305" t="str">
        <f>VLOOKUP(K22,原単位一覧!$B$4:$F$5,3,FALSE)</f>
        <v>ｋｇ-CO2/㎏</v>
      </c>
      <c r="N22" s="300" t="str">
        <f>VLOOKUP(I22,原単位一覧!$A$168:B190,2,FALSE)</f>
        <v>ａ1</v>
      </c>
      <c r="O22" s="71">
        <f>IF(IF(F22=0,0,ROUND(F22/10^INT(LOG(F22)),2)*10^INT(LOG(F22)))*IF(L22=0,0,ROUND(L22/10^INT(LOG(L22)),2)*10^INT(LOG(L22)))=0,0,ROUND(IF(F22=0,0,ROUND(F22/10^INT(LOG(F22)),2)*10^INT(LOG(F22)))*IF(L22=0,0,ROUND(L22/10^INT(LOG(L22)),2)*10^INT(LOG(L22)))/10^INT(LOG(IF(F22=0,0,ROUND(F22/10^INT(LOG(F22)),2)*10^INT(LOG(F22)))*IF(L22=0,0,ROUND(L22/10^INT(LOG(L22)),2)*10^INT(LOG(L22))))),2)*10^INT(LOG(IF(F22=0,0,ROUND(F22/10^INT(LOG(F22)),2)*10^INT(LOG(F22)))*IF(L22=0,0,ROUND(L22/10^INT(LOG(L22)),2)*10^INT(LOG(L22))))))</f>
        <v>0</v>
      </c>
      <c r="P22" s="24"/>
      <c r="Q22" s="94" t="e">
        <f t="shared" si="1"/>
        <v>#DIV/0!</v>
      </c>
      <c r="R22" s="94" t="e">
        <f t="shared" si="2"/>
        <v>#DIV/0!</v>
      </c>
      <c r="S22" s="343"/>
      <c r="T22" s="70"/>
      <c r="W22" s="70"/>
    </row>
    <row r="23" spans="1:23" s="11" customFormat="1" ht="45" customHeight="1">
      <c r="A23" s="503" t="str">
        <f t="shared" si="0"/>
        <v/>
      </c>
      <c r="B23" s="190" t="s">
        <v>388</v>
      </c>
      <c r="C23" s="63" t="s">
        <v>393</v>
      </c>
      <c r="D23" s="290" t="s">
        <v>25</v>
      </c>
      <c r="E23" s="317" t="str">
        <f>'(5)データの根拠'!D16</f>
        <v>その他の印刷材料①</v>
      </c>
      <c r="F23" s="295">
        <f>'(5)データの根拠'!H16</f>
        <v>0</v>
      </c>
      <c r="G23" s="295" t="str">
        <f>'(5)データの根拠'!I16</f>
        <v>枚・色</v>
      </c>
      <c r="H23" s="295" t="str">
        <f>'(5)データの根拠'!A16</f>
        <v>Ａ12</v>
      </c>
      <c r="I23" s="299" t="str">
        <f>VLOOKUP(個別製品情報入力シート!E25,原単位一覧!$F$39:$O$51,6,FALSE)</f>
        <v>その他</v>
      </c>
      <c r="J23" s="300" t="str">
        <f>VLOOKUP(個別製品情報入力シート!E25,原単位一覧!$F$39:$O$51,5,FALSE)</f>
        <v>PCR原単位</v>
      </c>
      <c r="K23" s="298" t="str">
        <f>"その他の印刷材料 "&amp;個別製品情報入力シート!E25</f>
        <v>その他の印刷材料 四六半裁</v>
      </c>
      <c r="L23" s="303">
        <f>VLOOKUP(個別製品情報入力シート!E25,原単位一覧!$F$39:$O$51,2,FALSE)</f>
        <v>1.56E-3</v>
      </c>
      <c r="M23" s="303" t="str">
        <f>VLOOKUP(個別製品情報入力シート!E25,原単位一覧!$F$39:$O$51,3,FALSE)</f>
        <v>ｋｇ-CO2/枚×色数</v>
      </c>
      <c r="N23" s="300" t="str">
        <f>VLOOKUP(I23,原単位一覧!$A$168:B191,2,FALSE)</f>
        <v>ｃ1</v>
      </c>
      <c r="O23" s="71">
        <f t="shared" si="3"/>
        <v>0</v>
      </c>
      <c r="P23" s="24"/>
      <c r="Q23" s="94" t="e">
        <f t="shared" si="1"/>
        <v>#DIV/0!</v>
      </c>
      <c r="R23" s="94" t="e">
        <f t="shared" si="2"/>
        <v>#DIV/0!</v>
      </c>
      <c r="S23" s="70"/>
      <c r="T23" s="70"/>
      <c r="W23" s="70"/>
    </row>
    <row r="24" spans="1:23" s="11" customFormat="1" ht="45" customHeight="1">
      <c r="A24" s="503" t="str">
        <f t="shared" si="0"/>
        <v/>
      </c>
      <c r="B24" s="190" t="s">
        <v>388</v>
      </c>
      <c r="C24" s="63" t="s">
        <v>393</v>
      </c>
      <c r="D24" s="290" t="s">
        <v>25</v>
      </c>
      <c r="E24" s="317" t="str">
        <f>'(5)データの根拠'!D17</f>
        <v>その他の印刷材料②</v>
      </c>
      <c r="F24" s="295">
        <f>'(5)データの根拠'!H17</f>
        <v>0</v>
      </c>
      <c r="G24" s="295" t="str">
        <f>'(5)データの根拠'!I17</f>
        <v>枚・色</v>
      </c>
      <c r="H24" s="295" t="str">
        <f>'(5)データの根拠'!A17</f>
        <v>Ａ13</v>
      </c>
      <c r="I24" s="299" t="str">
        <f>VLOOKUP(個別製品情報入力シート!F25,原単位一覧!$F$39:$O$51,6,FALSE)</f>
        <v>その他</v>
      </c>
      <c r="J24" s="300" t="str">
        <f>VLOOKUP(個別製品情報入力シート!F25,原単位一覧!$F$39:$O$51,5,FALSE)</f>
        <v>PCR原単位</v>
      </c>
      <c r="K24" s="298" t="str">
        <f>"その他の印刷材料 "&amp;個別製品情報入力シート!F25</f>
        <v>その他の印刷材料 四六4切</v>
      </c>
      <c r="L24" s="303">
        <f>VLOOKUP(個別製品情報入力シート!F25,原単位一覧!$F$39:$O$51,2,FALSE)</f>
        <v>7.7800000000000005E-4</v>
      </c>
      <c r="M24" s="303" t="str">
        <f>VLOOKUP(個別製品情報入力シート!F25,原単位一覧!$F$39:$O$51,3,FALSE)</f>
        <v>ｋｇ-CO2/枚×色数</v>
      </c>
      <c r="N24" s="300" t="str">
        <f>VLOOKUP(I24,原単位一覧!$A$168:B192,2,FALSE)</f>
        <v>ｃ1</v>
      </c>
      <c r="O24" s="71">
        <f t="shared" si="3"/>
        <v>0</v>
      </c>
      <c r="P24" s="24"/>
      <c r="Q24" s="94" t="e">
        <f t="shared" si="1"/>
        <v>#DIV/0!</v>
      </c>
      <c r="R24" s="94" t="e">
        <f t="shared" si="2"/>
        <v>#DIV/0!</v>
      </c>
      <c r="S24" s="70"/>
      <c r="T24" s="70"/>
      <c r="W24" s="70"/>
    </row>
    <row r="25" spans="1:23" s="11" customFormat="1" ht="45" customHeight="1">
      <c r="A25" s="503" t="str">
        <f t="shared" si="0"/>
        <v/>
      </c>
      <c r="B25" s="190" t="s">
        <v>388</v>
      </c>
      <c r="C25" s="63" t="s">
        <v>393</v>
      </c>
      <c r="D25" s="290" t="s">
        <v>25</v>
      </c>
      <c r="E25" s="317" t="str">
        <f>'(5)データの根拠'!D18</f>
        <v>その他の印刷材料③</v>
      </c>
      <c r="F25" s="295">
        <f>'(5)データの根拠'!H18</f>
        <v>0</v>
      </c>
      <c r="G25" s="295" t="str">
        <f>'(5)データの根拠'!I18</f>
        <v>枚・色</v>
      </c>
      <c r="H25" s="295" t="str">
        <f>'(5)データの根拠'!A18</f>
        <v>Ａ14</v>
      </c>
      <c r="I25" s="299" t="str">
        <f>VLOOKUP(個別製品情報入力シート!G25,原単位一覧!$F$39:$O$51,6,FALSE)</f>
        <v>その他</v>
      </c>
      <c r="J25" s="300" t="str">
        <f>VLOOKUP(個別製品情報入力シート!G25,原単位一覧!$F$39:$O$51,5,FALSE)</f>
        <v>PCR原単位</v>
      </c>
      <c r="K25" s="298" t="str">
        <f>"その他の印刷材料 "&amp;個別製品情報入力シート!G25</f>
        <v>その他の印刷材料 四六半裁</v>
      </c>
      <c r="L25" s="303">
        <f>VLOOKUP(個別製品情報入力シート!G25,原単位一覧!$F$39:$O$51,2,FALSE)</f>
        <v>1.56E-3</v>
      </c>
      <c r="M25" s="303" t="str">
        <f>VLOOKUP(個別製品情報入力シート!G25,原単位一覧!$F$39:$O$51,3,FALSE)</f>
        <v>ｋｇ-CO2/枚×色数</v>
      </c>
      <c r="N25" s="300" t="str">
        <f>VLOOKUP(I25,原単位一覧!$A$168:B193,2,FALSE)</f>
        <v>ｃ1</v>
      </c>
      <c r="O25" s="71">
        <f t="shared" si="3"/>
        <v>0</v>
      </c>
      <c r="P25" s="24"/>
      <c r="Q25" s="94" t="e">
        <f t="shared" si="1"/>
        <v>#DIV/0!</v>
      </c>
      <c r="R25" s="94" t="e">
        <f t="shared" si="2"/>
        <v>#DIV/0!</v>
      </c>
      <c r="S25" s="70"/>
      <c r="T25" s="70"/>
      <c r="W25" s="70"/>
    </row>
    <row r="26" spans="1:23" s="11" customFormat="1" ht="45" customHeight="1">
      <c r="A26" s="503" t="str">
        <f t="shared" si="0"/>
        <v/>
      </c>
      <c r="B26" s="190" t="s">
        <v>388</v>
      </c>
      <c r="C26" s="63" t="s">
        <v>393</v>
      </c>
      <c r="D26" s="290" t="s">
        <v>25</v>
      </c>
      <c r="E26" s="317" t="str">
        <f>'(5)データの根拠'!D19</f>
        <v>その他の印刷材料④</v>
      </c>
      <c r="F26" s="295">
        <f>'(5)データの根拠'!H19</f>
        <v>0</v>
      </c>
      <c r="G26" s="295" t="str">
        <f>'(5)データの根拠'!I19</f>
        <v>枚・色</v>
      </c>
      <c r="H26" s="295" t="str">
        <f>'(5)データの根拠'!A19</f>
        <v>Ａ15</v>
      </c>
      <c r="I26" s="299" t="str">
        <f>VLOOKUP(個別製品情報入力シート!H25,原単位一覧!$F$39:$O$51,6,FALSE)</f>
        <v>その他</v>
      </c>
      <c r="J26" s="300" t="str">
        <f>VLOOKUP(個別製品情報入力シート!H25,原単位一覧!$F$39:$O$51,5,FALSE)</f>
        <v>PCR原単位</v>
      </c>
      <c r="K26" s="298" t="str">
        <f>"その他の印刷材料 "&amp;個別製品情報入力シート!H25</f>
        <v>その他の印刷材料 四六半裁</v>
      </c>
      <c r="L26" s="303">
        <f>VLOOKUP(個別製品情報入力シート!H25,原単位一覧!$F$39:$O$51,2,FALSE)</f>
        <v>1.56E-3</v>
      </c>
      <c r="M26" s="303" t="str">
        <f>VLOOKUP(個別製品情報入力シート!H25,原単位一覧!$F$39:$O$51,3,FALSE)</f>
        <v>ｋｇ-CO2/枚×色数</v>
      </c>
      <c r="N26" s="300" t="str">
        <f>VLOOKUP(I26,原単位一覧!$A$168:B194,2,FALSE)</f>
        <v>ｃ1</v>
      </c>
      <c r="O26" s="71">
        <f t="shared" si="3"/>
        <v>0</v>
      </c>
      <c r="P26" s="24"/>
      <c r="Q26" s="94" t="e">
        <f t="shared" si="1"/>
        <v>#DIV/0!</v>
      </c>
      <c r="R26" s="94" t="e">
        <f t="shared" si="2"/>
        <v>#DIV/0!</v>
      </c>
      <c r="S26" s="70"/>
      <c r="T26" s="70"/>
      <c r="W26" s="70"/>
    </row>
    <row r="27" spans="1:23" s="11" customFormat="1" ht="45" customHeight="1">
      <c r="A27" s="503" t="str">
        <f t="shared" si="0"/>
        <v/>
      </c>
      <c r="B27" s="190" t="s">
        <v>388</v>
      </c>
      <c r="C27" s="63" t="s">
        <v>393</v>
      </c>
      <c r="D27" s="290" t="s">
        <v>25</v>
      </c>
      <c r="E27" s="317" t="str">
        <f>'(5)データの根拠'!D20</f>
        <v>その他の印刷材料⑤</v>
      </c>
      <c r="F27" s="295">
        <f>'(5)データの根拠'!H20</f>
        <v>0</v>
      </c>
      <c r="G27" s="295" t="str">
        <f>'(5)データの根拠'!I20</f>
        <v>枚・色</v>
      </c>
      <c r="H27" s="295" t="str">
        <f>'(5)データの根拠'!A20</f>
        <v>Ａ16</v>
      </c>
      <c r="I27" s="299" t="str">
        <f>VLOOKUP(個別製品情報入力シート!I25,原単位一覧!$F$39:$O$51,6,FALSE)</f>
        <v>その他</v>
      </c>
      <c r="J27" s="300" t="str">
        <f>VLOOKUP(個別製品情報入力シート!I25,原単位一覧!$F$39:$O$51,5,FALSE)</f>
        <v>PCR原単位</v>
      </c>
      <c r="K27" s="298" t="str">
        <f>"その他の印刷材料 "&amp;個別製品情報入力シート!I25</f>
        <v>その他の印刷材料 四六半裁</v>
      </c>
      <c r="L27" s="303">
        <f>VLOOKUP(個別製品情報入力シート!I25,原単位一覧!$F$39:$O$51,2,FALSE)</f>
        <v>1.56E-3</v>
      </c>
      <c r="M27" s="303" t="str">
        <f>VLOOKUP(個別製品情報入力シート!I25,原単位一覧!$F$39:$O$51,3,FALSE)</f>
        <v>ｋｇ-CO2/枚×色数</v>
      </c>
      <c r="N27" s="300" t="str">
        <f>VLOOKUP(I27,原単位一覧!$A$168:B195,2,FALSE)</f>
        <v>ｃ1</v>
      </c>
      <c r="O27" s="71">
        <f t="shared" si="3"/>
        <v>0</v>
      </c>
      <c r="P27" s="24"/>
      <c r="Q27" s="94" t="e">
        <f t="shared" si="1"/>
        <v>#DIV/0!</v>
      </c>
      <c r="R27" s="94" t="e">
        <f t="shared" si="2"/>
        <v>#DIV/0!</v>
      </c>
      <c r="S27" s="70"/>
      <c r="T27" s="70"/>
      <c r="W27" s="70"/>
    </row>
    <row r="28" spans="1:23" s="11" customFormat="1" ht="45" customHeight="1">
      <c r="A28" s="503" t="e">
        <f t="shared" si="0"/>
        <v>#DIV/0!</v>
      </c>
      <c r="B28" s="191" t="s">
        <v>388</v>
      </c>
      <c r="C28" s="63" t="s">
        <v>406</v>
      </c>
      <c r="D28" s="290" t="s">
        <v>25</v>
      </c>
      <c r="E28" s="317" t="s">
        <v>276</v>
      </c>
      <c r="F28" s="295" t="e">
        <f>'(5)データの根拠'!H21</f>
        <v>#DIV/0!</v>
      </c>
      <c r="G28" s="295" t="str">
        <f>'(5)データの根拠'!I21</f>
        <v>部・頁・mm</v>
      </c>
      <c r="H28" s="295" t="str">
        <f>'(5)データの根拠'!A21</f>
        <v>Ａ17</v>
      </c>
      <c r="I28" s="25" t="s">
        <v>57</v>
      </c>
      <c r="J28" s="290" t="s">
        <v>195</v>
      </c>
      <c r="K28" s="56" t="s">
        <v>337</v>
      </c>
      <c r="L28" s="44">
        <v>2.84E-7</v>
      </c>
      <c r="M28" s="26" t="s">
        <v>404</v>
      </c>
      <c r="N28" s="300" t="str">
        <f>VLOOKUP(I28,原単位一覧!$A$168:B196,2,FALSE)</f>
        <v>ｃ1</v>
      </c>
      <c r="O28" s="71" t="e">
        <f t="shared" si="3"/>
        <v>#DIV/0!</v>
      </c>
      <c r="P28" s="24"/>
      <c r="Q28" s="94" t="e">
        <f t="shared" si="1"/>
        <v>#DIV/0!</v>
      </c>
      <c r="R28" s="94" t="e">
        <f t="shared" si="2"/>
        <v>#DIV/0!</v>
      </c>
      <c r="S28" s="70"/>
      <c r="T28" s="70"/>
      <c r="W28" s="70"/>
    </row>
    <row r="29" spans="1:23" s="11" customFormat="1" ht="45" customHeight="1">
      <c r="A29" s="503" t="str">
        <f t="shared" si="0"/>
        <v/>
      </c>
      <c r="B29" s="191" t="s">
        <v>388</v>
      </c>
      <c r="C29" s="63" t="s">
        <v>405</v>
      </c>
      <c r="D29" s="290" t="s">
        <v>25</v>
      </c>
      <c r="E29" s="317" t="s">
        <v>277</v>
      </c>
      <c r="F29" s="295">
        <f>'(5)データの根拠'!H22</f>
        <v>0</v>
      </c>
      <c r="G29" s="295" t="str">
        <f>'(5)データの根拠'!I22</f>
        <v>部</v>
      </c>
      <c r="H29" s="295" t="str">
        <f>'(5)データの根拠'!A22</f>
        <v>Ａ18</v>
      </c>
      <c r="I29" s="25" t="s">
        <v>57</v>
      </c>
      <c r="J29" s="290" t="s">
        <v>195</v>
      </c>
      <c r="K29" s="56" t="s">
        <v>338</v>
      </c>
      <c r="L29" s="44">
        <v>3.4699999999999998E-4</v>
      </c>
      <c r="M29" s="26" t="s">
        <v>407</v>
      </c>
      <c r="N29" s="300" t="str">
        <f>VLOOKUP(I29,原単位一覧!$A$168:B197,2,FALSE)</f>
        <v>ｃ1</v>
      </c>
      <c r="O29" s="71">
        <f t="shared" si="3"/>
        <v>0</v>
      </c>
      <c r="P29" s="24"/>
      <c r="Q29" s="94" t="e">
        <f t="shared" si="1"/>
        <v>#DIV/0!</v>
      </c>
      <c r="R29" s="94" t="e">
        <f t="shared" si="2"/>
        <v>#DIV/0!</v>
      </c>
      <c r="S29" s="70"/>
      <c r="T29" s="70"/>
      <c r="W29" s="70"/>
    </row>
    <row r="30" spans="1:23" s="11" customFormat="1" ht="45" customHeight="1">
      <c r="A30" s="503" t="str">
        <f t="shared" si="0"/>
        <v/>
      </c>
      <c r="B30" s="191" t="s">
        <v>388</v>
      </c>
      <c r="C30" s="63" t="s">
        <v>409</v>
      </c>
      <c r="D30" s="290" t="s">
        <v>25</v>
      </c>
      <c r="E30" s="317" t="s">
        <v>287</v>
      </c>
      <c r="F30" s="295">
        <f>'(5)データの根拠'!H23</f>
        <v>0</v>
      </c>
      <c r="G30" s="295" t="str">
        <f>'(5)データの根拠'!I23</f>
        <v>枚</v>
      </c>
      <c r="H30" s="295" t="str">
        <f>'(5)データの根拠'!A23</f>
        <v>Ａ19</v>
      </c>
      <c r="I30" s="25" t="s">
        <v>57</v>
      </c>
      <c r="J30" s="290" t="s">
        <v>195</v>
      </c>
      <c r="K30" s="56" t="s">
        <v>287</v>
      </c>
      <c r="L30" s="44">
        <v>1.6100000000000001E-3</v>
      </c>
      <c r="M30" s="26" t="s">
        <v>410</v>
      </c>
      <c r="N30" s="300" t="str">
        <f>VLOOKUP(I30,原単位一覧!$A$168:B198,2,FALSE)</f>
        <v>ｃ1</v>
      </c>
      <c r="O30" s="71">
        <f t="shared" ref="O30:O36" si="4">IF(IF(F30=0,0,ROUND(F30/10^INT(LOG(F30)),2)*10^INT(LOG(F30)))*IF(L30=0,0,ROUND(L30/10^INT(LOG(L30)),2)*10^INT(LOG(L30)))=0,0,ROUND(IF(F30=0,0,ROUND(F30/10^INT(LOG(F30)),2)*10^INT(LOG(F30)))*IF(L30=0,0,ROUND(L30/10^INT(LOG(L30)),2)*10^INT(LOG(L30)))/10^INT(LOG(IF(F30=0,0,ROUND(F30/10^INT(LOG(F30)),2)*10^INT(LOG(F30)))*IF(L30=0,0,ROUND(L30/10^INT(LOG(L30)),2)*10^INT(LOG(L30))))),2)*10^INT(LOG(IF(F30=0,0,ROUND(F30/10^INT(LOG(F30)),2)*10^INT(LOG(F30)))*IF(L30=0,0,ROUND(L30/10^INT(LOG(L30)),2)*10^INT(LOG(L30))))))</f>
        <v>0</v>
      </c>
      <c r="P30" s="27"/>
      <c r="Q30" s="88" t="e">
        <f t="shared" si="1"/>
        <v>#DIV/0!</v>
      </c>
      <c r="R30" s="88" t="e">
        <f t="shared" si="2"/>
        <v>#DIV/0!</v>
      </c>
      <c r="S30" s="70"/>
      <c r="T30" s="70"/>
      <c r="W30" s="70"/>
    </row>
    <row r="31" spans="1:23" s="11" customFormat="1" ht="45" customHeight="1">
      <c r="A31" s="503" t="str">
        <f t="shared" si="0"/>
        <v/>
      </c>
      <c r="B31" s="191" t="s">
        <v>233</v>
      </c>
      <c r="C31" s="63" t="s">
        <v>411</v>
      </c>
      <c r="D31" s="290" t="s">
        <v>57</v>
      </c>
      <c r="E31" s="317" t="s">
        <v>690</v>
      </c>
      <c r="F31" s="295">
        <f>'(5)データの根拠'!H24</f>
        <v>0</v>
      </c>
      <c r="G31" s="295" t="str">
        <f>'(5)データの根拠'!I24</f>
        <v>ｔｋｍ</v>
      </c>
      <c r="H31" s="295" t="str">
        <f>'(5)データの根拠'!A24</f>
        <v>A20</v>
      </c>
      <c r="I31" s="298" t="str">
        <f>VLOOKUP(個別製品情報入力シート!E40,原単位一覧!$B$82:$K$85,6,FALSE)</f>
        <v>基本</v>
      </c>
      <c r="J31" s="319" t="str">
        <f>VLOOKUP(個別製品情報入力シート!E40,原単位一覧!$B$82:$K$85,7,FALSE)</f>
        <v>B-JP525033</v>
      </c>
      <c r="K31" s="298" t="str">
        <f>VLOOKUP(個別製品情報入力シート!E40,原単位一覧!$B$82:$K$85,3,FALSE)</f>
        <v>トラック輸送（4トン車：積載率25%）</v>
      </c>
      <c r="L31" s="303">
        <f>VLOOKUP(個別製品情報入力シート!E40,原単位一覧!$B$82:$K$85,4,FALSE)</f>
        <v>0.57099999999999995</v>
      </c>
      <c r="M31" s="26" t="s">
        <v>429</v>
      </c>
      <c r="N31" s="300" t="str">
        <f>VLOOKUP(I31,原単位一覧!$A$168:B199,2,FALSE)</f>
        <v>ａ1</v>
      </c>
      <c r="O31" s="71">
        <f t="shared" si="4"/>
        <v>0</v>
      </c>
      <c r="P31" s="27"/>
      <c r="Q31" s="88" t="e">
        <f t="shared" si="1"/>
        <v>#DIV/0!</v>
      </c>
      <c r="R31" s="88" t="e">
        <f t="shared" si="2"/>
        <v>#DIV/0!</v>
      </c>
      <c r="S31" s="70"/>
      <c r="T31" s="70"/>
      <c r="W31" s="70"/>
    </row>
    <row r="32" spans="1:23" s="11" customFormat="1" ht="45" customHeight="1">
      <c r="A32" s="503" t="str">
        <f t="shared" si="0"/>
        <v/>
      </c>
      <c r="B32" s="191" t="s">
        <v>233</v>
      </c>
      <c r="C32" s="63" t="s">
        <v>411</v>
      </c>
      <c r="D32" s="290" t="s">
        <v>57</v>
      </c>
      <c r="E32" s="317" t="s">
        <v>691</v>
      </c>
      <c r="F32" s="303">
        <f>'(5)データの根拠'!H26</f>
        <v>0</v>
      </c>
      <c r="G32" s="303" t="str">
        <f>'(5)データの根拠'!I26</f>
        <v>ｔｋｍ</v>
      </c>
      <c r="H32" s="303" t="str">
        <f>'(5)データの根拠'!A26</f>
        <v>A21</v>
      </c>
      <c r="I32" s="298" t="str">
        <f>VLOOKUP(個別製品情報入力シート!F40,原単位一覧!$B$82:$K$85,6,FALSE)</f>
        <v>基本</v>
      </c>
      <c r="J32" s="320" t="str">
        <f>VLOOKUP(個別製品情報入力シート!F40,原単位一覧!$B$82:$K$85,7,FALSE)</f>
        <v>B-JP525033</v>
      </c>
      <c r="K32" s="298" t="str">
        <f>VLOOKUP(個別製品情報入力シート!F40,原単位一覧!$B$82:$K$85,3,FALSE)</f>
        <v>トラック輸送（4トン車：積載率25%）</v>
      </c>
      <c r="L32" s="321">
        <f>VLOOKUP(個別製品情報入力シート!F40,原単位一覧!$B$82:$K$85,4,FALSE)</f>
        <v>0.57099999999999995</v>
      </c>
      <c r="M32" s="26" t="s">
        <v>698</v>
      </c>
      <c r="N32" s="300" t="str">
        <f>VLOOKUP(I32,原単位一覧!$A$168:B200,2,FALSE)</f>
        <v>ａ1</v>
      </c>
      <c r="O32" s="71">
        <f t="shared" si="4"/>
        <v>0</v>
      </c>
      <c r="P32" s="220"/>
      <c r="Q32" s="94" t="e">
        <f t="shared" si="1"/>
        <v>#DIV/0!</v>
      </c>
      <c r="R32" s="94" t="e">
        <f t="shared" si="2"/>
        <v>#DIV/0!</v>
      </c>
      <c r="S32" s="70"/>
      <c r="T32" s="70"/>
      <c r="W32" s="70"/>
    </row>
    <row r="33" spans="1:23" s="11" customFormat="1" ht="45" customHeight="1">
      <c r="A33" s="503" t="str">
        <f t="shared" si="0"/>
        <v/>
      </c>
      <c r="B33" s="191" t="s">
        <v>233</v>
      </c>
      <c r="C33" s="63" t="s">
        <v>411</v>
      </c>
      <c r="D33" s="290" t="s">
        <v>57</v>
      </c>
      <c r="E33" s="317" t="s">
        <v>692</v>
      </c>
      <c r="F33" s="303">
        <f>'(5)データの根拠'!H28</f>
        <v>0</v>
      </c>
      <c r="G33" s="303" t="str">
        <f>'(5)データの根拠'!I28</f>
        <v>ｔｋｍ</v>
      </c>
      <c r="H33" s="303" t="str">
        <f>'(5)データの根拠'!A28</f>
        <v>A22</v>
      </c>
      <c r="I33" s="298" t="str">
        <f>VLOOKUP(個別製品情報入力シート!G40,原単位一覧!$B$82:$K$85,6,FALSE)</f>
        <v>基本</v>
      </c>
      <c r="J33" s="320" t="str">
        <f>VLOOKUP(個別製品情報入力シート!G40,原単位一覧!$B$82:$K$85,7,FALSE)</f>
        <v>B-JP525033</v>
      </c>
      <c r="K33" s="298" t="str">
        <f>VLOOKUP(個別製品情報入力シート!G40,原単位一覧!$B$82:$K$85,3,FALSE)</f>
        <v>トラック輸送（4トン車：積載率25%）</v>
      </c>
      <c r="L33" s="321">
        <f>VLOOKUP(個別製品情報入力シート!G40,原単位一覧!$B$82:$K$85,4,FALSE)</f>
        <v>0.57099999999999995</v>
      </c>
      <c r="M33" s="26" t="s">
        <v>699</v>
      </c>
      <c r="N33" s="300" t="str">
        <f>VLOOKUP(I33,原単位一覧!$A$168:B201,2,FALSE)</f>
        <v>ａ1</v>
      </c>
      <c r="O33" s="71">
        <f t="shared" si="4"/>
        <v>0</v>
      </c>
      <c r="P33" s="220"/>
      <c r="Q33" s="94" t="e">
        <f t="shared" si="1"/>
        <v>#DIV/0!</v>
      </c>
      <c r="R33" s="94" t="e">
        <f t="shared" si="2"/>
        <v>#DIV/0!</v>
      </c>
      <c r="S33" s="70"/>
      <c r="T33" s="70"/>
      <c r="W33" s="70"/>
    </row>
    <row r="34" spans="1:23" s="11" customFormat="1" ht="45" customHeight="1">
      <c r="A34" s="503" t="str">
        <f t="shared" si="0"/>
        <v/>
      </c>
      <c r="B34" s="191" t="s">
        <v>233</v>
      </c>
      <c r="C34" s="63" t="s">
        <v>411</v>
      </c>
      <c r="D34" s="290" t="s">
        <v>57</v>
      </c>
      <c r="E34" s="317" t="s">
        <v>693</v>
      </c>
      <c r="F34" s="303">
        <f>'(5)データの根拠'!H30</f>
        <v>0</v>
      </c>
      <c r="G34" s="303" t="str">
        <f>'(5)データの根拠'!I30</f>
        <v>ｔｋｍ</v>
      </c>
      <c r="H34" s="303" t="str">
        <f>'(5)データの根拠'!A30</f>
        <v>A23</v>
      </c>
      <c r="I34" s="298" t="str">
        <f>VLOOKUP(個別製品情報入力シート!H40,原単位一覧!$B$82:$K$85,6,FALSE)</f>
        <v>基本</v>
      </c>
      <c r="J34" s="320" t="str">
        <f>VLOOKUP(個別製品情報入力シート!H40,原単位一覧!$B$82:$K$85,7,FALSE)</f>
        <v>B-JP525033</v>
      </c>
      <c r="K34" s="298" t="str">
        <f>VLOOKUP(個別製品情報入力シート!H40,原単位一覧!$B$82:$K$85,3,FALSE)</f>
        <v>トラック輸送（4トン車：積載率25%）</v>
      </c>
      <c r="L34" s="321">
        <f>VLOOKUP(個別製品情報入力シート!H40,原単位一覧!$B$82:$K$85,4,FALSE)</f>
        <v>0.57099999999999995</v>
      </c>
      <c r="M34" s="26" t="s">
        <v>700</v>
      </c>
      <c r="N34" s="300" t="str">
        <f>VLOOKUP(I34,原単位一覧!$A$168:B202,2,FALSE)</f>
        <v>ａ1</v>
      </c>
      <c r="O34" s="71">
        <f t="shared" si="4"/>
        <v>0</v>
      </c>
      <c r="P34" s="220"/>
      <c r="Q34" s="94" t="e">
        <f t="shared" si="1"/>
        <v>#DIV/0!</v>
      </c>
      <c r="R34" s="94" t="e">
        <f t="shared" si="2"/>
        <v>#DIV/0!</v>
      </c>
      <c r="S34" s="70"/>
      <c r="T34" s="70"/>
      <c r="W34" s="70"/>
    </row>
    <row r="35" spans="1:23" s="11" customFormat="1" ht="45" customHeight="1">
      <c r="A35" s="503" t="str">
        <f t="shared" si="0"/>
        <v/>
      </c>
      <c r="B35" s="191" t="s">
        <v>233</v>
      </c>
      <c r="C35" s="63" t="s">
        <v>411</v>
      </c>
      <c r="D35" s="290" t="s">
        <v>57</v>
      </c>
      <c r="E35" s="317" t="s">
        <v>694</v>
      </c>
      <c r="F35" s="303">
        <f>'(5)データの根拠'!H32</f>
        <v>0</v>
      </c>
      <c r="G35" s="303" t="str">
        <f>'(5)データの根拠'!I32</f>
        <v>ｔｋｍ</v>
      </c>
      <c r="H35" s="303" t="str">
        <f>'(5)データの根拠'!A32</f>
        <v>A24</v>
      </c>
      <c r="I35" s="298" t="str">
        <f>VLOOKUP(個別製品情報入力シート!I40,原単位一覧!$B$82:$K$85,6,FALSE)</f>
        <v>基本</v>
      </c>
      <c r="J35" s="320" t="str">
        <f>VLOOKUP(個別製品情報入力シート!I40,原単位一覧!$B$82:$K$85,7,FALSE)</f>
        <v>B-JP525033</v>
      </c>
      <c r="K35" s="298" t="str">
        <f>VLOOKUP(個別製品情報入力シート!I40,原単位一覧!$B$82:$K$85,3,FALSE)</f>
        <v>トラック輸送（4トン車：積載率25%）</v>
      </c>
      <c r="L35" s="321">
        <f>VLOOKUP(個別製品情報入力シート!I40,原単位一覧!$B$82:$K$85,4,FALSE)</f>
        <v>0.57099999999999995</v>
      </c>
      <c r="M35" s="26" t="s">
        <v>701</v>
      </c>
      <c r="N35" s="300" t="str">
        <f>VLOOKUP(I35,原単位一覧!$A$168:B203,2,FALSE)</f>
        <v>ａ1</v>
      </c>
      <c r="O35" s="71">
        <f t="shared" si="4"/>
        <v>0</v>
      </c>
      <c r="P35" s="220"/>
      <c r="Q35" s="94" t="e">
        <f t="shared" si="1"/>
        <v>#DIV/0!</v>
      </c>
      <c r="R35" s="94" t="e">
        <f t="shared" si="2"/>
        <v>#DIV/0!</v>
      </c>
      <c r="S35" s="70" t="s">
        <v>772</v>
      </c>
      <c r="T35" s="70"/>
      <c r="W35" s="70"/>
    </row>
    <row r="36" spans="1:23" s="11" customFormat="1" ht="45" customHeight="1" thickBot="1">
      <c r="A36" s="503" t="s">
        <v>823</v>
      </c>
      <c r="B36" s="192"/>
      <c r="C36" s="316"/>
      <c r="D36" s="290"/>
      <c r="E36" s="318"/>
      <c r="F36" s="296"/>
      <c r="G36" s="297"/>
      <c r="H36" s="298"/>
      <c r="I36" s="37"/>
      <c r="J36" s="290"/>
      <c r="K36" s="57"/>
      <c r="L36" s="45"/>
      <c r="M36" s="38"/>
      <c r="N36" s="301"/>
      <c r="O36" s="71">
        <f t="shared" si="4"/>
        <v>0</v>
      </c>
      <c r="P36" s="39"/>
      <c r="Q36" s="88" t="e">
        <f t="shared" si="1"/>
        <v>#DIV/0!</v>
      </c>
      <c r="R36" s="88" t="e">
        <f t="shared" si="2"/>
        <v>#DIV/0!</v>
      </c>
      <c r="S36" s="342" t="e">
        <f>SUM(R12:R36)</f>
        <v>#DIV/0!</v>
      </c>
      <c r="T36" s="70"/>
      <c r="W36" s="70"/>
    </row>
    <row r="37" spans="1:23" s="11" customFormat="1" ht="21" customHeight="1" thickTop="1" thickBot="1">
      <c r="A37" s="503" t="s">
        <v>823</v>
      </c>
      <c r="B37" s="940" t="s">
        <v>39</v>
      </c>
      <c r="C37" s="941"/>
      <c r="D37" s="85"/>
      <c r="E37" s="86"/>
      <c r="F37" s="87"/>
      <c r="G37" s="87"/>
      <c r="H37" s="87"/>
      <c r="I37" s="87"/>
      <c r="J37" s="87"/>
      <c r="K37" s="86"/>
      <c r="L37" s="87"/>
      <c r="M37" s="87"/>
      <c r="N37" s="87"/>
      <c r="O37" s="72" t="e">
        <f>IF(SUM(O12:O36)=0,0,ROUND(SUM(O12:O36)/10^INT(LOG(SUM(O12:O36))),2)*10^INT(LOG(SUM(O12:O36))))</f>
        <v>#DIV/0!</v>
      </c>
      <c r="P37" s="40"/>
      <c r="Q37" s="40"/>
      <c r="R37" s="84"/>
      <c r="T37" s="70"/>
    </row>
    <row r="38" spans="1:23" s="21" customFormat="1" ht="21" customHeight="1" thickBot="1">
      <c r="A38" s="503" t="s">
        <v>823</v>
      </c>
      <c r="B38" s="935" t="s">
        <v>27</v>
      </c>
      <c r="C38" s="935"/>
      <c r="D38" s="935"/>
      <c r="E38" s="58"/>
      <c r="F38" s="20"/>
      <c r="G38" s="20"/>
      <c r="H38" s="19"/>
      <c r="I38" s="19"/>
      <c r="J38" s="19"/>
      <c r="K38" s="58"/>
      <c r="L38" s="20"/>
      <c r="M38" s="20"/>
      <c r="N38" s="19"/>
      <c r="O38" s="20"/>
      <c r="P38" s="19"/>
      <c r="Q38" s="80"/>
      <c r="R38" s="80"/>
    </row>
    <row r="39" spans="1:23" s="21" customFormat="1" ht="21" customHeight="1">
      <c r="A39" s="503" t="s">
        <v>823</v>
      </c>
      <c r="B39" s="936" t="s">
        <v>10</v>
      </c>
      <c r="C39" s="938" t="s">
        <v>20</v>
      </c>
      <c r="D39" s="928" t="s">
        <v>17</v>
      </c>
      <c r="E39" s="929"/>
      <c r="F39" s="929"/>
      <c r="G39" s="929"/>
      <c r="H39" s="930"/>
      <c r="I39" s="928" t="s">
        <v>18</v>
      </c>
      <c r="J39" s="931"/>
      <c r="K39" s="931"/>
      <c r="L39" s="931"/>
      <c r="M39" s="931"/>
      <c r="N39" s="932"/>
      <c r="O39" s="15" t="s">
        <v>33</v>
      </c>
      <c r="P39" s="933" t="str">
        <f>P10</f>
        <v>備　考</v>
      </c>
      <c r="Q39" s="944" t="str">
        <f>Q10</f>
        <v>段階別
寄与率</v>
      </c>
      <c r="R39" s="944" t="str">
        <f>R10</f>
        <v>全LCに対する寄与率</v>
      </c>
    </row>
    <row r="40" spans="1:23" s="21" customFormat="1" ht="36" customHeight="1" thickBot="1">
      <c r="A40" s="503" t="s">
        <v>824</v>
      </c>
      <c r="B40" s="937"/>
      <c r="C40" s="939"/>
      <c r="D40" s="16" t="s">
        <v>19</v>
      </c>
      <c r="E40" s="55" t="s">
        <v>16</v>
      </c>
      <c r="F40" s="17" t="s">
        <v>8</v>
      </c>
      <c r="G40" s="16" t="s">
        <v>15</v>
      </c>
      <c r="H40" s="18" t="s">
        <v>21</v>
      </c>
      <c r="I40" s="16" t="s">
        <v>19</v>
      </c>
      <c r="J40" s="100" t="s">
        <v>98</v>
      </c>
      <c r="K40" s="55" t="s">
        <v>22</v>
      </c>
      <c r="L40" s="17" t="s">
        <v>8</v>
      </c>
      <c r="M40" s="17" t="s">
        <v>15</v>
      </c>
      <c r="N40" s="18" t="s">
        <v>21</v>
      </c>
      <c r="O40" s="17" t="s">
        <v>9</v>
      </c>
      <c r="P40" s="934"/>
      <c r="Q40" s="945"/>
      <c r="R40" s="945"/>
    </row>
    <row r="41" spans="1:23" s="11" customFormat="1" ht="29.25" customHeight="1" thickTop="1">
      <c r="A41" s="503" t="str">
        <f t="shared" si="0"/>
        <v/>
      </c>
      <c r="B41" s="67" t="s">
        <v>333</v>
      </c>
      <c r="C41" s="63" t="s">
        <v>430</v>
      </c>
      <c r="D41" s="290" t="s">
        <v>25</v>
      </c>
      <c r="E41" s="56" t="str">
        <f>'(5)データの根拠'!D36</f>
        <v>DTP生産・空調照明</v>
      </c>
      <c r="F41" s="303">
        <f>'(5)データの根拠'!H36</f>
        <v>0</v>
      </c>
      <c r="G41" s="306" t="str">
        <f>'(5)データの根拠'!F36</f>
        <v>頁</v>
      </c>
      <c r="H41" s="299" t="str">
        <f>'(5)データの根拠'!A36</f>
        <v>Ｂ1</v>
      </c>
      <c r="I41" s="25" t="s">
        <v>57</v>
      </c>
      <c r="J41" s="290" t="s">
        <v>195</v>
      </c>
      <c r="K41" s="56" t="s">
        <v>431</v>
      </c>
      <c r="L41" s="44">
        <v>1.74</v>
      </c>
      <c r="M41" s="26" t="s">
        <v>432</v>
      </c>
      <c r="N41" s="300" t="str">
        <f>VLOOKUP(I41,原単位一覧!$A$168:B208,2,FALSE)</f>
        <v>ｃ1</v>
      </c>
      <c r="O41" s="71">
        <f>IF(IF(F41=0,0,ROUND(F41/10^INT(LOG(F41)),2)*10^INT(LOG(F41)))*IF(L41=0,0,ROUND(L41/10^INT(LOG(L41)),2)*10^INT(LOG(L41)))=0,0,ROUND(IF(F41=0,0,ROUND(F41/10^INT(LOG(F41)),2)*10^INT(LOG(F41)))*IF(L41=0,0,ROUND(L41/10^INT(LOG(L41)),2)*10^INT(LOG(L41)))/10^INT(LOG(IF(F41=0,0,ROUND(F41/10^INT(LOG(F41)),2)*10^INT(LOG(F41)))*IF(L41=0,0,ROUND(L41/10^INT(LOG(L41)),2)*10^INT(LOG(L41))))),2)*10^INT(LOG(IF(F41=0,0,ROUND(F41/10^INT(LOG(F41)),2)*10^INT(LOG(F41)))*IF(L41=0,0,ROUND(L41/10^INT(LOG(L41)),2)*10^INT(LOG(L41))))))</f>
        <v>0</v>
      </c>
      <c r="P41" s="27"/>
      <c r="Q41" s="89" t="e">
        <f t="shared" ref="Q41:Q60" si="5">O41/$O$61</f>
        <v>#DIV/0!</v>
      </c>
      <c r="R41" s="89" t="e">
        <f t="shared" ref="R41:R60" si="6">O41/$Q$107</f>
        <v>#DIV/0!</v>
      </c>
      <c r="S41" s="70"/>
      <c r="T41" s="70"/>
    </row>
    <row r="42" spans="1:23" s="11" customFormat="1" ht="29.25" customHeight="1">
      <c r="A42" s="503" t="str">
        <f t="shared" si="0"/>
        <v/>
      </c>
      <c r="B42" s="67" t="s">
        <v>242</v>
      </c>
      <c r="C42" s="63" t="s">
        <v>242</v>
      </c>
      <c r="D42" s="290" t="s">
        <v>25</v>
      </c>
      <c r="E42" s="56" t="str">
        <f>'(5)データの根拠'!D37</f>
        <v>印刷機電力①</v>
      </c>
      <c r="F42" s="303">
        <f>'(5)データの根拠'!H37</f>
        <v>0</v>
      </c>
      <c r="G42" s="306" t="str">
        <f>'(5)データの根拠'!F37</f>
        <v>kWh</v>
      </c>
      <c r="H42" s="299" t="str">
        <f>'(5)データの根拠'!A37</f>
        <v>Ｂ2</v>
      </c>
      <c r="I42" s="25" t="s">
        <v>69</v>
      </c>
      <c r="J42" s="290" t="s">
        <v>458</v>
      </c>
      <c r="K42" s="290" t="s">
        <v>457</v>
      </c>
      <c r="L42" s="44">
        <v>0.47899999999999998</v>
      </c>
      <c r="M42" s="26" t="s">
        <v>459</v>
      </c>
      <c r="N42" s="300" t="str">
        <f>VLOOKUP(I42,原単位一覧!$A$168:B209,2,FALSE)</f>
        <v>ａ1</v>
      </c>
      <c r="O42" s="71">
        <f>IF(IF(F42=0,0,ROUND(F42/10^INT(LOG(F42)),2)*10^INT(LOG(F42)))*IF(L42=0,0,ROUND(L42/10^INT(LOG(L42)),2)*10^INT(LOG(L42)))=0,0,ROUND(IF(F42=0,0,ROUND(F42/10^INT(LOG(F42)),2)*10^INT(LOG(F42)))*IF(L42=0,0,ROUND(L42/10^INT(LOG(L42)),2)*10^INT(LOG(L42)))/10^INT(LOG(IF(F42=0,0,ROUND(F42/10^INT(LOG(F42)),2)*10^INT(LOG(F42)))*IF(L42=0,0,ROUND(L42/10^INT(LOG(L42)),2)*10^INT(LOG(L42))))),2)*10^INT(LOG(IF(F42=0,0,ROUND(F42/10^INT(LOG(F42)),2)*10^INT(LOG(F42)))*IF(L42=0,0,ROUND(L42/10^INT(LOG(L42)),2)*10^INT(LOG(L42))))))</f>
        <v>0</v>
      </c>
      <c r="P42" s="27"/>
      <c r="Q42" s="89" t="e">
        <f t="shared" si="5"/>
        <v>#DIV/0!</v>
      </c>
      <c r="R42" s="89" t="e">
        <f t="shared" si="6"/>
        <v>#DIV/0!</v>
      </c>
      <c r="S42" s="70"/>
      <c r="T42" s="70"/>
    </row>
    <row r="43" spans="1:23" s="11" customFormat="1" ht="29.25" customHeight="1">
      <c r="A43" s="503" t="str">
        <f t="shared" si="0"/>
        <v/>
      </c>
      <c r="B43" s="67" t="s">
        <v>242</v>
      </c>
      <c r="C43" s="63" t="s">
        <v>242</v>
      </c>
      <c r="D43" s="290" t="s">
        <v>25</v>
      </c>
      <c r="E43" s="56" t="str">
        <f>'(5)データの根拠'!D38</f>
        <v>印刷機電力②</v>
      </c>
      <c r="F43" s="303">
        <f>'(5)データの根拠'!H38</f>
        <v>0</v>
      </c>
      <c r="G43" s="306" t="str">
        <f>'(5)データの根拠'!F38</f>
        <v>kWh</v>
      </c>
      <c r="H43" s="299" t="str">
        <f>'(5)データの根拠'!A38</f>
        <v>Ｂ3</v>
      </c>
      <c r="I43" s="25" t="s">
        <v>69</v>
      </c>
      <c r="J43" s="290" t="s">
        <v>458</v>
      </c>
      <c r="K43" s="290" t="s">
        <v>457</v>
      </c>
      <c r="L43" s="44">
        <v>0.47899999999999998</v>
      </c>
      <c r="M43" s="26" t="s">
        <v>459</v>
      </c>
      <c r="N43" s="300" t="str">
        <f>VLOOKUP(I43,原単位一覧!$A$168:B210,2,FALSE)</f>
        <v>ａ1</v>
      </c>
      <c r="O43" s="71">
        <f t="shared" ref="O43:O50" si="7">IF(IF(F43=0,0,ROUND(F43/10^INT(LOG(F43)),2)*10^INT(LOG(F43)))*IF(L43=0,0,ROUND(L43/10^INT(LOG(L43)),2)*10^INT(LOG(L43)))=0,0,ROUND(IF(F43=0,0,ROUND(F43/10^INT(LOG(F43)),2)*10^INT(LOG(F43)))*IF(L43=0,0,ROUND(L43/10^INT(LOG(L43)),2)*10^INT(LOG(L43)))/10^INT(LOG(IF(F43=0,0,ROUND(F43/10^INT(LOG(F43)),2)*10^INT(LOG(F43)))*IF(L43=0,0,ROUND(L43/10^INT(LOG(L43)),2)*10^INT(LOG(L43))))),2)*10^INT(LOG(IF(F43=0,0,ROUND(F43/10^INT(LOG(F43)),2)*10^INT(LOG(F43)))*IF(L43=0,0,ROUND(L43/10^INT(LOG(L43)),2)*10^INT(LOG(L43))))))</f>
        <v>0</v>
      </c>
      <c r="P43" s="27"/>
      <c r="Q43" s="89" t="e">
        <f t="shared" si="5"/>
        <v>#DIV/0!</v>
      </c>
      <c r="R43" s="89" t="e">
        <f t="shared" si="6"/>
        <v>#DIV/0!</v>
      </c>
      <c r="S43" s="70"/>
      <c r="T43" s="70"/>
    </row>
    <row r="44" spans="1:23" s="11" customFormat="1" ht="29.25" customHeight="1">
      <c r="A44" s="503" t="str">
        <f t="shared" si="0"/>
        <v/>
      </c>
      <c r="B44" s="67" t="s">
        <v>242</v>
      </c>
      <c r="C44" s="63" t="s">
        <v>242</v>
      </c>
      <c r="D44" s="290" t="s">
        <v>25</v>
      </c>
      <c r="E44" s="56" t="str">
        <f>'(5)データの根拠'!D39</f>
        <v>印刷機電力③</v>
      </c>
      <c r="F44" s="303">
        <f>'(5)データの根拠'!H39</f>
        <v>0</v>
      </c>
      <c r="G44" s="306" t="str">
        <f>'(5)データの根拠'!F39</f>
        <v>kWh</v>
      </c>
      <c r="H44" s="299" t="str">
        <f>'(5)データの根拠'!A39</f>
        <v>Ｂ4</v>
      </c>
      <c r="I44" s="25" t="s">
        <v>69</v>
      </c>
      <c r="J44" s="290" t="s">
        <v>458</v>
      </c>
      <c r="K44" s="290" t="s">
        <v>457</v>
      </c>
      <c r="L44" s="44">
        <v>0.47899999999999998</v>
      </c>
      <c r="M44" s="26" t="s">
        <v>459</v>
      </c>
      <c r="N44" s="300" t="str">
        <f>VLOOKUP(I44,原単位一覧!$A$168:B211,2,FALSE)</f>
        <v>ａ1</v>
      </c>
      <c r="O44" s="71">
        <f t="shared" si="7"/>
        <v>0</v>
      </c>
      <c r="P44" s="27"/>
      <c r="Q44" s="89" t="e">
        <f t="shared" si="5"/>
        <v>#DIV/0!</v>
      </c>
      <c r="R44" s="89" t="e">
        <f t="shared" si="6"/>
        <v>#DIV/0!</v>
      </c>
      <c r="S44" s="70"/>
      <c r="T44" s="70"/>
    </row>
    <row r="45" spans="1:23" s="11" customFormat="1" ht="29.25" customHeight="1">
      <c r="A45" s="503" t="str">
        <f t="shared" si="0"/>
        <v/>
      </c>
      <c r="B45" s="67" t="s">
        <v>242</v>
      </c>
      <c r="C45" s="63" t="s">
        <v>242</v>
      </c>
      <c r="D45" s="290" t="s">
        <v>25</v>
      </c>
      <c r="E45" s="56" t="str">
        <f>'(5)データの根拠'!D40</f>
        <v>印刷機電力④</v>
      </c>
      <c r="F45" s="303">
        <f>'(5)データの根拠'!H40</f>
        <v>0</v>
      </c>
      <c r="G45" s="306" t="str">
        <f>'(5)データの根拠'!F40</f>
        <v>kWh</v>
      </c>
      <c r="H45" s="299" t="str">
        <f>'(5)データの根拠'!A40</f>
        <v>Ｂ5</v>
      </c>
      <c r="I45" s="25" t="s">
        <v>69</v>
      </c>
      <c r="J45" s="290" t="s">
        <v>458</v>
      </c>
      <c r="K45" s="290" t="s">
        <v>457</v>
      </c>
      <c r="L45" s="44">
        <v>0.47899999999999998</v>
      </c>
      <c r="M45" s="26" t="s">
        <v>459</v>
      </c>
      <c r="N45" s="300" t="str">
        <f>VLOOKUP(I45,原単位一覧!$A$168:B212,2,FALSE)</f>
        <v>ａ1</v>
      </c>
      <c r="O45" s="71">
        <f t="shared" si="7"/>
        <v>0</v>
      </c>
      <c r="P45" s="27"/>
      <c r="Q45" s="89" t="e">
        <f t="shared" si="5"/>
        <v>#DIV/0!</v>
      </c>
      <c r="R45" s="89" t="e">
        <f t="shared" si="6"/>
        <v>#DIV/0!</v>
      </c>
      <c r="S45" s="70"/>
      <c r="T45" s="70"/>
    </row>
    <row r="46" spans="1:23" s="11" customFormat="1" ht="29.25" customHeight="1">
      <c r="A46" s="503" t="str">
        <f t="shared" si="0"/>
        <v/>
      </c>
      <c r="B46" s="67" t="s">
        <v>242</v>
      </c>
      <c r="C46" s="63" t="s">
        <v>242</v>
      </c>
      <c r="D46" s="290" t="s">
        <v>25</v>
      </c>
      <c r="E46" s="56" t="str">
        <f>'(5)データの根拠'!D41</f>
        <v>印刷機電力⑤</v>
      </c>
      <c r="F46" s="303">
        <f>'(5)データの根拠'!H41</f>
        <v>0</v>
      </c>
      <c r="G46" s="306" t="str">
        <f>'(5)データの根拠'!F41</f>
        <v>kWh</v>
      </c>
      <c r="H46" s="299" t="str">
        <f>'(5)データの根拠'!A41</f>
        <v>Ｂ6</v>
      </c>
      <c r="I46" s="25" t="s">
        <v>69</v>
      </c>
      <c r="J46" s="290" t="s">
        <v>458</v>
      </c>
      <c r="K46" s="290" t="s">
        <v>457</v>
      </c>
      <c r="L46" s="44">
        <v>0.47899999999999998</v>
      </c>
      <c r="M46" s="26" t="s">
        <v>459</v>
      </c>
      <c r="N46" s="300" t="str">
        <f>VLOOKUP(I46,原単位一覧!$A$168:B213,2,FALSE)</f>
        <v>ａ1</v>
      </c>
      <c r="O46" s="71">
        <f t="shared" si="7"/>
        <v>0</v>
      </c>
      <c r="P46" s="27"/>
      <c r="Q46" s="89" t="e">
        <f t="shared" si="5"/>
        <v>#DIV/0!</v>
      </c>
      <c r="R46" s="89" t="e">
        <f t="shared" si="6"/>
        <v>#DIV/0!</v>
      </c>
      <c r="S46" s="70"/>
      <c r="T46" s="70"/>
    </row>
    <row r="47" spans="1:23" s="11" customFormat="1" ht="29.25" customHeight="1">
      <c r="A47" s="503" t="str">
        <f t="shared" si="0"/>
        <v/>
      </c>
      <c r="B47" s="67" t="s">
        <v>242</v>
      </c>
      <c r="C47" s="63" t="s">
        <v>242</v>
      </c>
      <c r="D47" s="290" t="s">
        <v>25</v>
      </c>
      <c r="E47" s="56" t="str">
        <f>'(5)データの根拠'!D42</f>
        <v>印刷空調照明①</v>
      </c>
      <c r="F47" s="303">
        <f>'(5)データの根拠'!H42</f>
        <v>0</v>
      </c>
      <c r="G47" s="306" t="str">
        <f>'(5)データの根拠'!F42</f>
        <v>枚</v>
      </c>
      <c r="H47" s="299" t="str">
        <f>'(5)データの根拠'!A42</f>
        <v>Ｂ7</v>
      </c>
      <c r="I47" s="25" t="s">
        <v>57</v>
      </c>
      <c r="J47" s="290" t="s">
        <v>195</v>
      </c>
      <c r="K47" s="298" t="str">
        <f>IF(個別製品情報入力シート!E40="輪転印刷機",原単位一覧!D57,原単位一覧!D56)</f>
        <v>印刷空調照明(枚葉オフセット)</v>
      </c>
      <c r="L47" s="44">
        <f>VLOOKUP(K47,原単位一覧!$D$56:$H$57,4,FALSE)</f>
        <v>4.8399999999999997E-3</v>
      </c>
      <c r="M47" s="26" t="s">
        <v>410</v>
      </c>
      <c r="N47" s="300" t="str">
        <f>VLOOKUP(I47,原単位一覧!$A$168:B214,2,FALSE)</f>
        <v>ｃ1</v>
      </c>
      <c r="O47" s="71">
        <f t="shared" si="7"/>
        <v>0</v>
      </c>
      <c r="P47" s="27"/>
      <c r="Q47" s="89" t="e">
        <f t="shared" si="5"/>
        <v>#DIV/0!</v>
      </c>
      <c r="R47" s="89" t="e">
        <f t="shared" si="6"/>
        <v>#DIV/0!</v>
      </c>
      <c r="S47" s="70"/>
      <c r="T47" s="70"/>
    </row>
    <row r="48" spans="1:23" s="11" customFormat="1" ht="29.25" customHeight="1">
      <c r="A48" s="503" t="str">
        <f t="shared" si="0"/>
        <v/>
      </c>
      <c r="B48" s="67" t="s">
        <v>242</v>
      </c>
      <c r="C48" s="63" t="s">
        <v>242</v>
      </c>
      <c r="D48" s="290" t="s">
        <v>25</v>
      </c>
      <c r="E48" s="56" t="str">
        <f>'(5)データの根拠'!D43</f>
        <v>印刷空調照明②</v>
      </c>
      <c r="F48" s="303">
        <f>'(5)データの根拠'!H43</f>
        <v>0</v>
      </c>
      <c r="G48" s="306" t="str">
        <f>'(5)データの根拠'!F43</f>
        <v>枚</v>
      </c>
      <c r="H48" s="299" t="str">
        <f>'(5)データの根拠'!A43</f>
        <v>Ｂ8</v>
      </c>
      <c r="I48" s="25" t="s">
        <v>57</v>
      </c>
      <c r="J48" s="290" t="s">
        <v>195</v>
      </c>
      <c r="K48" s="298" t="str">
        <f>IF(個別製品情報入力シート!F40="輪転印刷機",原単位一覧!D57,原単位一覧!D56)</f>
        <v>印刷空調照明(枚葉オフセット)</v>
      </c>
      <c r="L48" s="44">
        <f>VLOOKUP(K48,原単位一覧!$D$56:$H$57,4,FALSE)</f>
        <v>4.8399999999999997E-3</v>
      </c>
      <c r="M48" s="26" t="s">
        <v>410</v>
      </c>
      <c r="N48" s="300" t="str">
        <f>VLOOKUP(I48,原単位一覧!$A$168:B215,2,FALSE)</f>
        <v>ｃ1</v>
      </c>
      <c r="O48" s="71">
        <f t="shared" si="7"/>
        <v>0</v>
      </c>
      <c r="P48" s="27"/>
      <c r="Q48" s="89" t="e">
        <f t="shared" si="5"/>
        <v>#DIV/0!</v>
      </c>
      <c r="R48" s="89" t="e">
        <f t="shared" si="6"/>
        <v>#DIV/0!</v>
      </c>
      <c r="S48" s="70"/>
      <c r="T48" s="70"/>
    </row>
    <row r="49" spans="1:20" s="11" customFormat="1" ht="29.25" customHeight="1">
      <c r="A49" s="503" t="str">
        <f t="shared" si="0"/>
        <v/>
      </c>
      <c r="B49" s="67" t="s">
        <v>242</v>
      </c>
      <c r="C49" s="63" t="s">
        <v>242</v>
      </c>
      <c r="D49" s="290" t="s">
        <v>25</v>
      </c>
      <c r="E49" s="56" t="str">
        <f>'(5)データの根拠'!D44</f>
        <v>印刷空調照明③</v>
      </c>
      <c r="F49" s="303">
        <f>'(5)データの根拠'!H44</f>
        <v>0</v>
      </c>
      <c r="G49" s="306" t="str">
        <f>'(5)データの根拠'!F44</f>
        <v>枚</v>
      </c>
      <c r="H49" s="299" t="str">
        <f>'(5)データの根拠'!A44</f>
        <v>Ｂ9</v>
      </c>
      <c r="I49" s="25" t="s">
        <v>57</v>
      </c>
      <c r="J49" s="290" t="s">
        <v>195</v>
      </c>
      <c r="K49" s="298" t="str">
        <f>IF(個別製品情報入力シート!G40="輪転印刷機",原単位一覧!D57,原単位一覧!D56)</f>
        <v>印刷空調照明(枚葉オフセット)</v>
      </c>
      <c r="L49" s="44">
        <f>VLOOKUP(K49,原単位一覧!$D$56:$H$57,4,FALSE)</f>
        <v>4.8399999999999997E-3</v>
      </c>
      <c r="M49" s="26" t="s">
        <v>410</v>
      </c>
      <c r="N49" s="300" t="str">
        <f>VLOOKUP(I49,原単位一覧!$A$168:B216,2,FALSE)</f>
        <v>ｃ1</v>
      </c>
      <c r="O49" s="71">
        <f t="shared" si="7"/>
        <v>0</v>
      </c>
      <c r="P49" s="27"/>
      <c r="Q49" s="89" t="e">
        <f t="shared" si="5"/>
        <v>#DIV/0!</v>
      </c>
      <c r="R49" s="89" t="e">
        <f t="shared" si="6"/>
        <v>#DIV/0!</v>
      </c>
      <c r="S49" s="70"/>
      <c r="T49" s="70"/>
    </row>
    <row r="50" spans="1:20" s="11" customFormat="1" ht="29.25" customHeight="1">
      <c r="A50" s="503" t="str">
        <f t="shared" si="0"/>
        <v/>
      </c>
      <c r="B50" s="67" t="s">
        <v>242</v>
      </c>
      <c r="C50" s="63" t="s">
        <v>242</v>
      </c>
      <c r="D50" s="290" t="s">
        <v>25</v>
      </c>
      <c r="E50" s="56" t="str">
        <f>'(5)データの根拠'!D45</f>
        <v>印刷空調照明④</v>
      </c>
      <c r="F50" s="303">
        <f>'(5)データの根拠'!H45</f>
        <v>0</v>
      </c>
      <c r="G50" s="306" t="str">
        <f>'(5)データの根拠'!F45</f>
        <v>枚</v>
      </c>
      <c r="H50" s="299" t="str">
        <f>'(5)データの根拠'!A45</f>
        <v>Ｂ10</v>
      </c>
      <c r="I50" s="25" t="s">
        <v>57</v>
      </c>
      <c r="J50" s="290" t="s">
        <v>195</v>
      </c>
      <c r="K50" s="298" t="str">
        <f>IF(個別製品情報入力シート!H40="輪転印刷機",原単位一覧!D57,原単位一覧!D56)</f>
        <v>印刷空調照明(枚葉オフセット)</v>
      </c>
      <c r="L50" s="44">
        <f>VLOOKUP(K50,原単位一覧!$D$56:$H$57,4,FALSE)</f>
        <v>4.8399999999999997E-3</v>
      </c>
      <c r="M50" s="26" t="s">
        <v>410</v>
      </c>
      <c r="N50" s="300" t="str">
        <f>VLOOKUP(I50,原単位一覧!$A$168:B217,2,FALSE)</f>
        <v>ｃ1</v>
      </c>
      <c r="O50" s="71">
        <f t="shared" si="7"/>
        <v>0</v>
      </c>
      <c r="P50" s="27"/>
      <c r="Q50" s="89" t="e">
        <f t="shared" si="5"/>
        <v>#DIV/0!</v>
      </c>
      <c r="R50" s="89" t="e">
        <f t="shared" si="6"/>
        <v>#DIV/0!</v>
      </c>
      <c r="S50" s="70"/>
      <c r="T50" s="70"/>
    </row>
    <row r="51" spans="1:20" s="11" customFormat="1" ht="29.25" customHeight="1">
      <c r="A51" s="503" t="str">
        <f t="shared" si="0"/>
        <v/>
      </c>
      <c r="B51" s="67" t="s">
        <v>242</v>
      </c>
      <c r="C51" s="63" t="s">
        <v>242</v>
      </c>
      <c r="D51" s="290" t="s">
        <v>25</v>
      </c>
      <c r="E51" s="56" t="str">
        <f>'(5)データの根拠'!D46</f>
        <v>印刷空調照明⑤</v>
      </c>
      <c r="F51" s="303">
        <f>'(5)データの根拠'!H46</f>
        <v>0</v>
      </c>
      <c r="G51" s="306" t="str">
        <f>'(5)データの根拠'!F46</f>
        <v>枚</v>
      </c>
      <c r="H51" s="299" t="str">
        <f>'(5)データの根拠'!A46</f>
        <v>Ｂ11</v>
      </c>
      <c r="I51" s="25" t="s">
        <v>57</v>
      </c>
      <c r="J51" s="290" t="s">
        <v>195</v>
      </c>
      <c r="K51" s="298" t="str">
        <f>IF(個別製品情報入力シート!I40="輪転印刷機",原単位一覧!D57,原単位一覧!D56)</f>
        <v>印刷空調照明(枚葉オフセット)</v>
      </c>
      <c r="L51" s="44">
        <f>VLOOKUP(K51,原単位一覧!$D$56:$H$57,4,FALSE)</f>
        <v>4.8399999999999997E-3</v>
      </c>
      <c r="M51" s="26" t="s">
        <v>410</v>
      </c>
      <c r="N51" s="300" t="str">
        <f>VLOOKUP(I51,原単位一覧!$A$168:B218,2,FALSE)</f>
        <v>ｃ1</v>
      </c>
      <c r="O51" s="71">
        <f t="shared" ref="O51:O59" si="8">IF(IF(F51=0,0,ROUND(F51/10^INT(LOG(F51)),2)*10^INT(LOG(F51)))*IF(L51=0,0,ROUND(L51/10^INT(LOG(L51)),2)*10^INT(LOG(L51)))=0,0,ROUND(IF(F51=0,0,ROUND(F51/10^INT(LOG(F51)),2)*10^INT(LOG(F51)))*IF(L51=0,0,ROUND(L51/10^INT(LOG(L51)),2)*10^INT(LOG(L51)))/10^INT(LOG(IF(F51=0,0,ROUND(F51/10^INT(LOG(F51)),2)*10^INT(LOG(F51)))*IF(L51=0,0,ROUND(L51/10^INT(LOG(L51)),2)*10^INT(LOG(L51))))),2)*10^INT(LOG(IF(F51=0,0,ROUND(F51/10^INT(LOG(F51)),2)*10^INT(LOG(F51)))*IF(L51=0,0,ROUND(L51/10^INT(LOG(L51)),2)*10^INT(LOG(L51))))))</f>
        <v>0</v>
      </c>
      <c r="P51" s="27"/>
      <c r="Q51" s="89" t="e">
        <f t="shared" si="5"/>
        <v>#DIV/0!</v>
      </c>
      <c r="R51" s="89" t="e">
        <f t="shared" si="6"/>
        <v>#DIV/0!</v>
      </c>
      <c r="S51" s="70"/>
      <c r="T51" s="70"/>
    </row>
    <row r="52" spans="1:20" s="11" customFormat="1" ht="29.25" customHeight="1">
      <c r="A52" s="503" t="str">
        <f t="shared" si="0"/>
        <v/>
      </c>
      <c r="B52" s="67" t="s">
        <v>246</v>
      </c>
      <c r="C52" s="63" t="s">
        <v>246</v>
      </c>
      <c r="D52" s="290" t="s">
        <v>25</v>
      </c>
      <c r="E52" s="56" t="str">
        <f>'(5)データの根拠'!D47</f>
        <v>断裁生産・空調照明</v>
      </c>
      <c r="F52" s="303">
        <f>'(5)データの根拠'!H47</f>
        <v>0</v>
      </c>
      <c r="G52" s="306" t="str">
        <f>'(5)データの根拠'!F47</f>
        <v>枚</v>
      </c>
      <c r="H52" s="299" t="str">
        <f>'(5)データの根拠'!A47</f>
        <v>Ｂ12</v>
      </c>
      <c r="I52" s="25" t="s">
        <v>57</v>
      </c>
      <c r="J52" s="290" t="s">
        <v>195</v>
      </c>
      <c r="K52" s="56" t="s">
        <v>342</v>
      </c>
      <c r="L52" s="44">
        <v>2.33E-3</v>
      </c>
      <c r="M52" s="26" t="s">
        <v>410</v>
      </c>
      <c r="N52" s="300" t="str">
        <f>VLOOKUP(I52,原単位一覧!$A$168:B219,2,FALSE)</f>
        <v>ｃ1</v>
      </c>
      <c r="O52" s="71">
        <f t="shared" si="8"/>
        <v>0</v>
      </c>
      <c r="P52" s="27"/>
      <c r="Q52" s="89" t="e">
        <f t="shared" si="5"/>
        <v>#DIV/0!</v>
      </c>
      <c r="R52" s="89" t="e">
        <f t="shared" si="6"/>
        <v>#DIV/0!</v>
      </c>
      <c r="S52" s="70"/>
      <c r="T52" s="70"/>
    </row>
    <row r="53" spans="1:20" s="11" customFormat="1" ht="29.25" customHeight="1">
      <c r="A53" s="503" t="str">
        <f t="shared" si="0"/>
        <v/>
      </c>
      <c r="B53" s="67" t="s">
        <v>465</v>
      </c>
      <c r="C53" s="67" t="s">
        <v>465</v>
      </c>
      <c r="D53" s="290" t="s">
        <v>25</v>
      </c>
      <c r="E53" s="56" t="str">
        <f>'(5)データの根拠'!D48</f>
        <v>折生産・空調照明</v>
      </c>
      <c r="F53" s="303">
        <f>'(5)データの根拠'!H48</f>
        <v>0</v>
      </c>
      <c r="G53" s="306" t="str">
        <f>'(5)データの根拠'!F48</f>
        <v>枚</v>
      </c>
      <c r="H53" s="299" t="str">
        <f>'(5)データの根拠'!A48</f>
        <v>Ｂ13</v>
      </c>
      <c r="I53" s="25" t="s">
        <v>57</v>
      </c>
      <c r="J53" s="290" t="s">
        <v>195</v>
      </c>
      <c r="K53" s="56" t="s">
        <v>356</v>
      </c>
      <c r="L53" s="44">
        <v>2.5999999999999999E-3</v>
      </c>
      <c r="M53" s="26" t="s">
        <v>410</v>
      </c>
      <c r="N53" s="300" t="str">
        <f>VLOOKUP(I53,原単位一覧!$A$168:B220,2,FALSE)</f>
        <v>ｃ1</v>
      </c>
      <c r="O53" s="71">
        <f t="shared" si="8"/>
        <v>0</v>
      </c>
      <c r="P53" s="27"/>
      <c r="Q53" s="89" t="e">
        <f t="shared" si="5"/>
        <v>#DIV/0!</v>
      </c>
      <c r="R53" s="89" t="e">
        <f t="shared" si="6"/>
        <v>#DIV/0!</v>
      </c>
      <c r="S53" s="70"/>
      <c r="T53" s="70"/>
    </row>
    <row r="54" spans="1:20" s="11" customFormat="1" ht="29.25" customHeight="1">
      <c r="A54" s="503" t="e">
        <f t="shared" si="0"/>
        <v>#DIV/0!</v>
      </c>
      <c r="B54" s="67" t="s">
        <v>465</v>
      </c>
      <c r="C54" s="67" t="s">
        <v>465</v>
      </c>
      <c r="D54" s="290" t="s">
        <v>25</v>
      </c>
      <c r="E54" s="56" t="str">
        <f>'(5)データの根拠'!D49</f>
        <v>無線綴生産・空調照明</v>
      </c>
      <c r="F54" s="303" t="e">
        <f>'(5)データの根拠'!H49</f>
        <v>#DIV/0!</v>
      </c>
      <c r="G54" s="306" t="str">
        <f>'(5)データの根拠'!F49</f>
        <v>部</v>
      </c>
      <c r="H54" s="299" t="str">
        <f>'(5)データの根拠'!A49</f>
        <v>Ｂ14</v>
      </c>
      <c r="I54" s="25" t="s">
        <v>57</v>
      </c>
      <c r="J54" s="290" t="s">
        <v>195</v>
      </c>
      <c r="K54" s="56" t="s">
        <v>343</v>
      </c>
      <c r="L54" s="44">
        <v>7.8799999999999999E-3</v>
      </c>
      <c r="M54" s="26" t="s">
        <v>407</v>
      </c>
      <c r="N54" s="300" t="str">
        <f>VLOOKUP(I54,原単位一覧!$A$168:B221,2,FALSE)</f>
        <v>ｃ1</v>
      </c>
      <c r="O54" s="71" t="e">
        <f t="shared" si="8"/>
        <v>#DIV/0!</v>
      </c>
      <c r="P54" s="27"/>
      <c r="Q54" s="89" t="e">
        <f t="shared" si="5"/>
        <v>#DIV/0!</v>
      </c>
      <c r="R54" s="89" t="e">
        <f t="shared" si="6"/>
        <v>#DIV/0!</v>
      </c>
      <c r="S54" s="70"/>
      <c r="T54" s="70"/>
    </row>
    <row r="55" spans="1:20" s="11" customFormat="1" ht="29.25" customHeight="1">
      <c r="A55" s="503" t="str">
        <f t="shared" si="0"/>
        <v/>
      </c>
      <c r="B55" s="67" t="s">
        <v>465</v>
      </c>
      <c r="C55" s="67" t="s">
        <v>465</v>
      </c>
      <c r="D55" s="290" t="s">
        <v>25</v>
      </c>
      <c r="E55" s="56" t="str">
        <f>'(5)データの根拠'!D50</f>
        <v>中綴生産・空調照明</v>
      </c>
      <c r="F55" s="303">
        <f>'(5)データの根拠'!H50</f>
        <v>0</v>
      </c>
      <c r="G55" s="306" t="str">
        <f>'(5)データの根拠'!F50</f>
        <v>部</v>
      </c>
      <c r="H55" s="299" t="str">
        <f>'(5)データの根拠'!A50</f>
        <v>Ｂ15</v>
      </c>
      <c r="I55" s="25" t="s">
        <v>57</v>
      </c>
      <c r="J55" s="290" t="s">
        <v>195</v>
      </c>
      <c r="K55" s="56" t="s">
        <v>344</v>
      </c>
      <c r="L55" s="44">
        <v>3.64E-3</v>
      </c>
      <c r="M55" s="26" t="s">
        <v>407</v>
      </c>
      <c r="N55" s="300" t="str">
        <f>VLOOKUP(I55,原単位一覧!$A$168:B222,2,FALSE)</f>
        <v>ｃ1</v>
      </c>
      <c r="O55" s="71">
        <f t="shared" si="8"/>
        <v>0</v>
      </c>
      <c r="P55" s="27"/>
      <c r="Q55" s="89" t="e">
        <f t="shared" si="5"/>
        <v>#DIV/0!</v>
      </c>
      <c r="R55" s="89" t="e">
        <f t="shared" si="6"/>
        <v>#DIV/0!</v>
      </c>
      <c r="S55" s="70"/>
      <c r="T55" s="70"/>
    </row>
    <row r="56" spans="1:20" s="11" customFormat="1" ht="29.25" customHeight="1">
      <c r="A56" s="503" t="str">
        <f t="shared" si="0"/>
        <v/>
      </c>
      <c r="B56" s="67" t="s">
        <v>248</v>
      </c>
      <c r="C56" s="63" t="s">
        <v>248</v>
      </c>
      <c r="D56" s="290" t="s">
        <v>25</v>
      </c>
      <c r="E56" s="56" t="str">
        <f>'(5)データの根拠'!D51</f>
        <v>梱包生産・空調照明</v>
      </c>
      <c r="F56" s="303">
        <f>'(5)データの根拠'!H51</f>
        <v>0</v>
      </c>
      <c r="G56" s="306" t="str">
        <f>'(5)データの根拠'!F51</f>
        <v>枚</v>
      </c>
      <c r="H56" s="299" t="str">
        <f>'(5)データの根拠'!A51</f>
        <v>Ｂ16</v>
      </c>
      <c r="I56" s="25" t="s">
        <v>57</v>
      </c>
      <c r="J56" s="290" t="s">
        <v>195</v>
      </c>
      <c r="K56" s="56" t="s">
        <v>345</v>
      </c>
      <c r="L56" s="44">
        <v>1.36E-5</v>
      </c>
      <c r="M56" s="26" t="s">
        <v>410</v>
      </c>
      <c r="N56" s="300" t="str">
        <f>VLOOKUP(I56,原単位一覧!$A$168:B223,2,FALSE)</f>
        <v>ｃ1</v>
      </c>
      <c r="O56" s="71">
        <f t="shared" si="8"/>
        <v>0</v>
      </c>
      <c r="P56" s="27"/>
      <c r="Q56" s="89" t="e">
        <f t="shared" si="5"/>
        <v>#DIV/0!</v>
      </c>
      <c r="R56" s="89" t="e">
        <f t="shared" si="6"/>
        <v>#DIV/0!</v>
      </c>
      <c r="S56" s="70"/>
      <c r="T56" s="70"/>
    </row>
    <row r="57" spans="1:20" s="11" customFormat="1" ht="29.25" customHeight="1">
      <c r="A57" s="503" t="str">
        <f t="shared" si="0"/>
        <v/>
      </c>
      <c r="B57" s="67" t="s">
        <v>250</v>
      </c>
      <c r="C57" s="63" t="s">
        <v>250</v>
      </c>
      <c r="D57" s="290" t="s">
        <v>25</v>
      </c>
      <c r="E57" s="56" t="str">
        <f>'(5)データの根拠'!D52</f>
        <v>予備紙廃棄</v>
      </c>
      <c r="F57" s="303">
        <f>'(5)データの根拠'!H52</f>
        <v>0</v>
      </c>
      <c r="G57" s="306" t="str">
        <f>'(5)データの根拠'!F52</f>
        <v>枚</v>
      </c>
      <c r="H57" s="299" t="str">
        <f>'(5)データの根拠'!A52</f>
        <v>Ｂ17</v>
      </c>
      <c r="I57" s="25" t="s">
        <v>57</v>
      </c>
      <c r="J57" s="290" t="s">
        <v>195</v>
      </c>
      <c r="K57" s="56" t="s">
        <v>346</v>
      </c>
      <c r="L57" s="44">
        <v>1.5100000000000001E-2</v>
      </c>
      <c r="M57" s="26" t="s">
        <v>410</v>
      </c>
      <c r="N57" s="300" t="str">
        <f>VLOOKUP(I57,原単位一覧!$A$168:B224,2,FALSE)</f>
        <v>ｃ1</v>
      </c>
      <c r="O57" s="71">
        <f t="shared" si="8"/>
        <v>0</v>
      </c>
      <c r="P57" s="27"/>
      <c r="Q57" s="89" t="e">
        <f t="shared" si="5"/>
        <v>#DIV/0!</v>
      </c>
      <c r="R57" s="89" t="e">
        <f t="shared" si="6"/>
        <v>#DIV/0!</v>
      </c>
      <c r="S57" s="70"/>
      <c r="T57" s="70"/>
    </row>
    <row r="58" spans="1:20" s="11" customFormat="1" ht="29.25" customHeight="1">
      <c r="A58" s="503" t="str">
        <f>IF(F58=0,"","●")</f>
        <v/>
      </c>
      <c r="B58" s="67" t="s">
        <v>250</v>
      </c>
      <c r="C58" s="63" t="s">
        <v>250</v>
      </c>
      <c r="D58" s="290" t="s">
        <v>25</v>
      </c>
      <c r="E58" s="221" t="str">
        <f>'(5)データの根拠'!C53</f>
        <v>断裁ロスのリサイクル</v>
      </c>
      <c r="F58" s="321">
        <f>'(5)データの根拠'!H53</f>
        <v>0</v>
      </c>
      <c r="G58" s="306" t="str">
        <f>'(5)データの根拠'!F53</f>
        <v>kg</v>
      </c>
      <c r="H58" s="299" t="str">
        <f>'(5)データの根拠'!A53</f>
        <v>Ｂ18</v>
      </c>
      <c r="I58" s="25" t="s">
        <v>94</v>
      </c>
      <c r="J58" s="290" t="s">
        <v>975</v>
      </c>
      <c r="K58" s="221" t="s">
        <v>973</v>
      </c>
      <c r="L58" s="222">
        <v>9.9500000000000005E-3</v>
      </c>
      <c r="M58" s="223" t="s">
        <v>974</v>
      </c>
      <c r="N58" s="300" t="str">
        <f>VLOOKUP(I58,原単位一覧!$A$168:B225,2,FALSE)</f>
        <v>ｂ1</v>
      </c>
      <c r="O58" s="71">
        <f t="shared" si="8"/>
        <v>0</v>
      </c>
      <c r="P58" s="220"/>
      <c r="Q58" s="89" t="e">
        <f t="shared" ref="Q58" si="9">O58/$O$61</f>
        <v>#DIV/0!</v>
      </c>
      <c r="R58" s="89" t="e">
        <f t="shared" si="6"/>
        <v>#DIV/0!</v>
      </c>
      <c r="S58" s="70"/>
      <c r="T58" s="70"/>
    </row>
    <row r="59" spans="1:20" s="11" customFormat="1" ht="29.25" customHeight="1">
      <c r="A59" s="503" t="str">
        <f t="shared" si="0"/>
        <v/>
      </c>
      <c r="B59" s="224" t="s">
        <v>233</v>
      </c>
      <c r="C59" s="225" t="s">
        <v>420</v>
      </c>
      <c r="D59" s="290" t="s">
        <v>57</v>
      </c>
      <c r="E59" s="221" t="s">
        <v>536</v>
      </c>
      <c r="F59" s="321">
        <f>'(5)データの根拠'!H63</f>
        <v>0</v>
      </c>
      <c r="G59" s="324" t="s">
        <v>423</v>
      </c>
      <c r="H59" s="299" t="str">
        <f>'(5)データの根拠'!A63</f>
        <v>Ｂ19</v>
      </c>
      <c r="I59" s="25" t="s">
        <v>69</v>
      </c>
      <c r="J59" s="290" t="s">
        <v>427</v>
      </c>
      <c r="K59" s="221" t="s">
        <v>426</v>
      </c>
      <c r="L59" s="222">
        <v>0.57099999999999995</v>
      </c>
      <c r="M59" s="223" t="s">
        <v>574</v>
      </c>
      <c r="N59" s="300" t="str">
        <f>VLOOKUP(I59,原単位一覧!$A$168:B229,2,FALSE)</f>
        <v>ａ1</v>
      </c>
      <c r="O59" s="71">
        <f t="shared" si="8"/>
        <v>0</v>
      </c>
      <c r="P59" s="220"/>
      <c r="Q59" s="89" t="e">
        <f t="shared" si="5"/>
        <v>#DIV/0!</v>
      </c>
      <c r="R59" s="89" t="e">
        <f t="shared" si="6"/>
        <v>#DIV/0!</v>
      </c>
      <c r="S59" s="70"/>
      <c r="T59" s="70"/>
    </row>
    <row r="60" spans="1:20" s="11" customFormat="1" ht="29.25" customHeight="1" thickBot="1">
      <c r="A60" s="503" t="s">
        <v>823</v>
      </c>
      <c r="B60" s="68"/>
      <c r="C60" s="64"/>
      <c r="D60" s="90"/>
      <c r="E60" s="59"/>
      <c r="F60" s="307"/>
      <c r="G60" s="308"/>
      <c r="H60" s="309"/>
      <c r="I60" s="25"/>
      <c r="J60" s="90"/>
      <c r="K60" s="59"/>
      <c r="L60" s="46"/>
      <c r="M60" s="29"/>
      <c r="N60" s="309"/>
      <c r="O60" s="71">
        <f>IF(IF(F60=0,0,ROUND(F60/10^INT(LOG(F60)),2)*10^INT(LOG(F60)))*IF(L60=0,0,ROUND(L60/10^INT(LOG(L60)),2)*10^INT(LOG(L60)))=0,0,ROUND(IF(F60=0,0,ROUND(F60/10^INT(LOG(F60)),2)*10^INT(LOG(F60)))*IF(L60=0,0,ROUND(L60/10^INT(LOG(L60)),2)*10^INT(LOG(L60)))/10^INT(LOG(IF(F60=0,0,ROUND(F60/10^INT(LOG(F60)),2)*10^INT(LOG(F60)))*IF(L60=0,0,ROUND(L60/10^INT(LOG(L60)),2)*10^INT(LOG(L60))))),2)*10^INT(LOG(IF(F60=0,0,ROUND(F60/10^INT(LOG(F60)),2)*10^INT(LOG(F60)))*IF(L60=0,0,ROUND(L60/10^INT(LOG(L60)),2)*10^INT(LOG(L60))))))</f>
        <v>0</v>
      </c>
      <c r="P60" s="30"/>
      <c r="Q60" s="89" t="e">
        <f t="shared" si="5"/>
        <v>#DIV/0!</v>
      </c>
      <c r="R60" s="89" t="e">
        <f t="shared" si="6"/>
        <v>#DIV/0!</v>
      </c>
      <c r="S60" s="70"/>
      <c r="T60" s="70"/>
    </row>
    <row r="61" spans="1:20" s="11" customFormat="1" ht="21" customHeight="1" thickTop="1" thickBot="1">
      <c r="A61" s="503" t="s">
        <v>824</v>
      </c>
      <c r="B61" s="940" t="s">
        <v>39</v>
      </c>
      <c r="C61" s="941"/>
      <c r="D61" s="85"/>
      <c r="E61" s="86"/>
      <c r="F61" s="87"/>
      <c r="G61" s="87"/>
      <c r="H61" s="87"/>
      <c r="I61" s="87"/>
      <c r="J61" s="87"/>
      <c r="K61" s="86"/>
      <c r="L61" s="87"/>
      <c r="M61" s="87"/>
      <c r="N61" s="87"/>
      <c r="O61" s="72" t="e">
        <f>IF(SUM(O41:O60)=0,0,ROUND(SUM(O41:O60)/10^INT(LOG(SUM(O41:O60))),2)*10^INT(LOG(SUM(O41:O60))))</f>
        <v>#DIV/0!</v>
      </c>
      <c r="P61" s="40"/>
      <c r="Q61" s="40"/>
      <c r="R61" s="84"/>
      <c r="T61" s="70"/>
    </row>
    <row r="62" spans="1:20" s="11" customFormat="1" ht="21" customHeight="1" thickBot="1">
      <c r="A62" s="503" t="s">
        <v>823</v>
      </c>
      <c r="B62" s="935" t="s">
        <v>37</v>
      </c>
      <c r="C62" s="935"/>
      <c r="D62" s="935"/>
      <c r="E62" s="58"/>
      <c r="F62" s="20"/>
      <c r="G62" s="20"/>
      <c r="H62" s="19"/>
      <c r="I62" s="19"/>
      <c r="J62" s="19"/>
      <c r="K62" s="58"/>
      <c r="L62" s="20"/>
      <c r="M62" s="20"/>
      <c r="N62" s="19"/>
      <c r="O62" s="20"/>
      <c r="P62" s="19"/>
      <c r="Q62" s="81"/>
      <c r="R62" s="81"/>
    </row>
    <row r="63" spans="1:20" s="11" customFormat="1" ht="21" customHeight="1">
      <c r="A63" s="503" t="s">
        <v>824</v>
      </c>
      <c r="B63" s="936" t="s">
        <v>10</v>
      </c>
      <c r="C63" s="938" t="s">
        <v>20</v>
      </c>
      <c r="D63" s="928" t="s">
        <v>17</v>
      </c>
      <c r="E63" s="929"/>
      <c r="F63" s="929"/>
      <c r="G63" s="929"/>
      <c r="H63" s="930"/>
      <c r="I63" s="928" t="s">
        <v>18</v>
      </c>
      <c r="J63" s="931"/>
      <c r="K63" s="931"/>
      <c r="L63" s="931"/>
      <c r="M63" s="931"/>
      <c r="N63" s="932"/>
      <c r="O63" s="15" t="s">
        <v>33</v>
      </c>
      <c r="P63" s="933" t="str">
        <f>P10</f>
        <v>備　考</v>
      </c>
      <c r="Q63" s="944" t="str">
        <f>Q10</f>
        <v>段階別
寄与率</v>
      </c>
      <c r="R63" s="944" t="str">
        <f>R10</f>
        <v>全LCに対する寄与率</v>
      </c>
    </row>
    <row r="64" spans="1:20" s="11" customFormat="1" ht="36" customHeight="1" thickBot="1">
      <c r="A64" s="503" t="s">
        <v>823</v>
      </c>
      <c r="B64" s="937"/>
      <c r="C64" s="939"/>
      <c r="D64" s="16" t="s">
        <v>19</v>
      </c>
      <c r="E64" s="55" t="s">
        <v>16</v>
      </c>
      <c r="F64" s="17" t="s">
        <v>8</v>
      </c>
      <c r="G64" s="16" t="s">
        <v>15</v>
      </c>
      <c r="H64" s="18" t="s">
        <v>21</v>
      </c>
      <c r="I64" s="16" t="s">
        <v>19</v>
      </c>
      <c r="J64" s="100" t="s">
        <v>98</v>
      </c>
      <c r="K64" s="55" t="s">
        <v>22</v>
      </c>
      <c r="L64" s="17" t="s">
        <v>8</v>
      </c>
      <c r="M64" s="17" t="s">
        <v>15</v>
      </c>
      <c r="N64" s="18" t="s">
        <v>21</v>
      </c>
      <c r="O64" s="17" t="s">
        <v>9</v>
      </c>
      <c r="P64" s="934"/>
      <c r="Q64" s="945"/>
      <c r="R64" s="945"/>
    </row>
    <row r="65" spans="1:20" s="11" customFormat="1" ht="41.25" thickTop="1">
      <c r="A65" s="503" t="str">
        <f t="shared" si="0"/>
        <v/>
      </c>
      <c r="B65" s="226" t="s">
        <v>1013</v>
      </c>
      <c r="C65" s="471" t="s">
        <v>1030</v>
      </c>
      <c r="D65" s="290" t="s">
        <v>25</v>
      </c>
      <c r="E65" s="56" t="s">
        <v>469</v>
      </c>
      <c r="F65" s="303">
        <f>'(5)データの根拠'!H70</f>
        <v>0</v>
      </c>
      <c r="G65" s="306" t="str">
        <f>'(5)データの根拠'!I70</f>
        <v>tkm</v>
      </c>
      <c r="H65" s="299" t="str">
        <f>'(5)データの根拠'!A70</f>
        <v>Ｃ１</v>
      </c>
      <c r="I65" s="25" t="s">
        <v>69</v>
      </c>
      <c r="J65" s="290" t="str">
        <f>原単位一覧!H91</f>
        <v>B-JP525032</v>
      </c>
      <c r="K65" s="310" t="str">
        <f>原単位一覧!D91</f>
        <v>トラック輸送（4トン車：積載率50%）</v>
      </c>
      <c r="L65" s="291">
        <f>原単位一覧!E91</f>
        <v>0.32500000000000001</v>
      </c>
      <c r="M65" s="26" t="str">
        <f>原単位一覧!F91</f>
        <v>kg-CO2/ｔ㎞</v>
      </c>
      <c r="N65" s="290" t="str">
        <f>VLOOKUP(I65,原単位一覧!$A$168:B235,2,FALSE)</f>
        <v>ａ1</v>
      </c>
      <c r="O65" s="71">
        <f t="shared" ref="O65:O75" si="10">IF(IF(F65=0,0,ROUND(F65/10^INT(LOG(F65)),2)*10^INT(LOG(F65)))*IF(L65=0,0,ROUND(L65/10^INT(LOG(L65)),2)*10^INT(LOG(L65)))=0,0,ROUND(IF(F65=0,0,ROUND(F65/10^INT(LOG(F65)),2)*10^INT(LOG(F65)))*IF(L65=0,0,ROUND(L65/10^INT(LOG(L65)),2)*10^INT(LOG(L65)))/10^INT(LOG(IF(F65=0,0,ROUND(F65/10^INT(LOG(F65)),2)*10^INT(LOG(F65)))*IF(L65=0,0,ROUND(L65/10^INT(LOG(L65)),2)*10^INT(LOG(L65))))),2)*10^INT(LOG(IF(F65=0,0,ROUND(F65/10^INT(LOG(F65)),2)*10^INT(LOG(F65)))*IF(L65=0,0,ROUND(L65/10^INT(LOG(L65)),2)*10^INT(LOG(L65))))))</f>
        <v>0</v>
      </c>
      <c r="P65" s="27"/>
      <c r="Q65" s="89" t="e">
        <f t="shared" ref="Q65:Q75" si="11">O65/$O$76</f>
        <v>#DIV/0!</v>
      </c>
      <c r="R65" s="89" t="e">
        <f t="shared" ref="R65:R75" si="12">O65/$Q$107</f>
        <v>#DIV/0!</v>
      </c>
      <c r="S65" s="70"/>
      <c r="T65" s="70"/>
    </row>
    <row r="66" spans="1:20" s="11" customFormat="1" ht="40.5">
      <c r="A66" s="503" t="str">
        <f t="shared" si="0"/>
        <v/>
      </c>
      <c r="B66" s="226" t="s">
        <v>1013</v>
      </c>
      <c r="C66" s="471" t="s">
        <v>1030</v>
      </c>
      <c r="D66" s="290" t="s">
        <v>25</v>
      </c>
      <c r="E66" s="56" t="s">
        <v>470</v>
      </c>
      <c r="F66" s="303">
        <f>'(5)データの根拠'!H72</f>
        <v>0</v>
      </c>
      <c r="G66" s="303" t="str">
        <f>'(5)データの根拠'!I72</f>
        <v>tkm</v>
      </c>
      <c r="H66" s="295" t="str">
        <f>'(5)データの根拠'!A72</f>
        <v>Ｃ２</v>
      </c>
      <c r="I66" s="25" t="s">
        <v>69</v>
      </c>
      <c r="J66" s="290" t="str">
        <f>原単位一覧!H97</f>
        <v>B-JP525032</v>
      </c>
      <c r="K66" s="310" t="str">
        <f>原単位一覧!D97</f>
        <v>トラック輸送（4トン車：積載率50%）</v>
      </c>
      <c r="L66" s="291">
        <f>原単位一覧!E97</f>
        <v>0.32500000000000001</v>
      </c>
      <c r="M66" s="26" t="str">
        <f>原単位一覧!F97</f>
        <v>kg-CO2/ｔ㎞</v>
      </c>
      <c r="N66" s="290" t="str">
        <f>VLOOKUP(I66,原単位一覧!$A$168:B236,2,FALSE)</f>
        <v>ａ1</v>
      </c>
      <c r="O66" s="71">
        <f t="shared" si="10"/>
        <v>0</v>
      </c>
      <c r="P66" s="27"/>
      <c r="Q66" s="89" t="e">
        <f t="shared" si="11"/>
        <v>#DIV/0!</v>
      </c>
      <c r="R66" s="89" t="e">
        <f t="shared" si="12"/>
        <v>#DIV/0!</v>
      </c>
      <c r="S66" s="70"/>
      <c r="T66" s="70"/>
    </row>
    <row r="67" spans="1:20" s="11" customFormat="1" ht="40.5">
      <c r="A67" s="503" t="str">
        <f t="shared" si="0"/>
        <v/>
      </c>
      <c r="B67" s="226" t="s">
        <v>1013</v>
      </c>
      <c r="C67" s="471" t="s">
        <v>1030</v>
      </c>
      <c r="D67" s="290" t="s">
        <v>25</v>
      </c>
      <c r="E67" s="56" t="s">
        <v>471</v>
      </c>
      <c r="F67" s="303">
        <f>'(5)データの根拠'!H78</f>
        <v>0</v>
      </c>
      <c r="G67" s="303" t="str">
        <f>'(5)データの根拠'!I78</f>
        <v>tkm</v>
      </c>
      <c r="H67" s="299" t="str">
        <f>'(5)データの根拠'!A78</f>
        <v>Ｃ3</v>
      </c>
      <c r="I67" s="25" t="s">
        <v>69</v>
      </c>
      <c r="J67" s="290" t="s">
        <v>483</v>
      </c>
      <c r="K67" s="310" t="s">
        <v>477</v>
      </c>
      <c r="L67" s="291">
        <v>0.32500000000000001</v>
      </c>
      <c r="M67" s="26" t="s">
        <v>481</v>
      </c>
      <c r="N67" s="290" t="str">
        <f>VLOOKUP(I67,原単位一覧!$A$168:B237,2,FALSE)</f>
        <v>ａ1</v>
      </c>
      <c r="O67" s="71">
        <f t="shared" si="10"/>
        <v>0</v>
      </c>
      <c r="P67" s="27"/>
      <c r="Q67" s="89" t="e">
        <f t="shared" si="11"/>
        <v>#DIV/0!</v>
      </c>
      <c r="R67" s="89" t="e">
        <f t="shared" si="12"/>
        <v>#DIV/0!</v>
      </c>
      <c r="S67" s="70"/>
      <c r="T67" s="70"/>
    </row>
    <row r="68" spans="1:20" s="11" customFormat="1" ht="40.5">
      <c r="A68" s="503" t="str">
        <f t="shared" si="0"/>
        <v/>
      </c>
      <c r="B68" s="226" t="s">
        <v>1013</v>
      </c>
      <c r="C68" s="471" t="s">
        <v>1030</v>
      </c>
      <c r="D68" s="290" t="s">
        <v>25</v>
      </c>
      <c r="E68" s="56" t="s">
        <v>472</v>
      </c>
      <c r="F68" s="303">
        <f>'(5)データの根拠'!H80</f>
        <v>0</v>
      </c>
      <c r="G68" s="303" t="str">
        <f>'(5)データの根拠'!I80</f>
        <v>tkm</v>
      </c>
      <c r="H68" s="299" t="str">
        <f>'(5)データの根拠'!A80</f>
        <v>Ｃ4</v>
      </c>
      <c r="I68" s="25" t="s">
        <v>69</v>
      </c>
      <c r="J68" s="290" t="s">
        <v>483</v>
      </c>
      <c r="K68" s="310" t="s">
        <v>477</v>
      </c>
      <c r="L68" s="291">
        <v>0.32500000000000001</v>
      </c>
      <c r="M68" s="26" t="s">
        <v>481</v>
      </c>
      <c r="N68" s="290" t="str">
        <f>VLOOKUP(I68,原単位一覧!$A$168:B238,2,FALSE)</f>
        <v>ａ1</v>
      </c>
      <c r="O68" s="71">
        <f t="shared" si="10"/>
        <v>0</v>
      </c>
      <c r="P68" s="27"/>
      <c r="Q68" s="89" t="e">
        <f t="shared" si="11"/>
        <v>#DIV/0!</v>
      </c>
      <c r="R68" s="89" t="e">
        <f t="shared" si="12"/>
        <v>#DIV/0!</v>
      </c>
      <c r="S68" s="70"/>
      <c r="T68" s="70"/>
    </row>
    <row r="69" spans="1:20" s="11" customFormat="1" ht="42.75">
      <c r="A69" s="503" t="str">
        <f t="shared" si="0"/>
        <v/>
      </c>
      <c r="B69" s="226" t="s">
        <v>1028</v>
      </c>
      <c r="C69" s="471" t="s">
        <v>1029</v>
      </c>
      <c r="D69" s="290" t="s">
        <v>25</v>
      </c>
      <c r="E69" s="56" t="s">
        <v>715</v>
      </c>
      <c r="F69" s="303">
        <f>'(5)データの根拠'!H82</f>
        <v>0</v>
      </c>
      <c r="G69" s="303" t="str">
        <f>'(5)データの根拠'!I82</f>
        <v>枚</v>
      </c>
      <c r="H69" s="299" t="str">
        <f>'(5)データの根拠'!A82</f>
        <v>Ｃ5</v>
      </c>
      <c r="I69" s="25" t="s">
        <v>57</v>
      </c>
      <c r="J69" s="356" t="str">
        <f>VLOOKUP(個別製品情報入力シート!D57,原単位一覧!B127:F132,5,FALSE)</f>
        <v>PCR原単位</v>
      </c>
      <c r="K69" s="302" t="str">
        <f>原単位一覧!A127&amp;" "&amp;VLOOKUP(個別製品情報入力シート!D57,原単位一覧!$B$127:$D$132,1,FALSE)</f>
        <v>封筒の製造および輸送 なし</v>
      </c>
      <c r="L69" s="357">
        <f>VLOOKUP(個別製品情報入力シート!D57,原単位一覧!B127:F132,2,FALSE)</f>
        <v>0</v>
      </c>
      <c r="M69" s="358" t="str">
        <f>VLOOKUP(個別製品情報入力シート!D57,原単位一覧!B127:D132,3,FALSE)</f>
        <v>kg-CO2/枚</v>
      </c>
      <c r="N69" s="290" t="str">
        <f>VLOOKUP(I69,原単位一覧!$A$168:B240,2,FALSE)</f>
        <v>ｃ1</v>
      </c>
      <c r="O69" s="71">
        <f t="shared" si="10"/>
        <v>0</v>
      </c>
      <c r="P69" s="27"/>
      <c r="Q69" s="89" t="e">
        <f t="shared" si="11"/>
        <v>#DIV/0!</v>
      </c>
      <c r="R69" s="89" t="e">
        <f t="shared" si="12"/>
        <v>#DIV/0!</v>
      </c>
      <c r="S69" s="70"/>
      <c r="T69" s="70"/>
    </row>
    <row r="70" spans="1:20" s="11" customFormat="1" ht="39.75" customHeight="1">
      <c r="A70" s="503" t="str">
        <f t="shared" si="0"/>
        <v/>
      </c>
      <c r="B70" s="226" t="s">
        <v>1028</v>
      </c>
      <c r="C70" s="471" t="s">
        <v>1034</v>
      </c>
      <c r="D70" s="290" t="s">
        <v>25</v>
      </c>
      <c r="E70" s="56" t="s">
        <v>721</v>
      </c>
      <c r="F70" s="303">
        <f>'(5)データの根拠'!H83</f>
        <v>0</v>
      </c>
      <c r="G70" s="303" t="str">
        <f>'(5)データの根拠'!I83</f>
        <v>kg</v>
      </c>
      <c r="H70" s="299" t="str">
        <f>'(5)データの根拠'!A83</f>
        <v>Ｃ6</v>
      </c>
      <c r="I70" s="25" t="s">
        <v>57</v>
      </c>
      <c r="J70" s="290" t="s">
        <v>195</v>
      </c>
      <c r="K70" s="56" t="s">
        <v>505</v>
      </c>
      <c r="L70" s="44">
        <f>1.999/1000</f>
        <v>1.9989999999999999E-3</v>
      </c>
      <c r="M70" s="26" t="s">
        <v>768</v>
      </c>
      <c r="N70" s="290" t="str">
        <f>VLOOKUP(I70,原単位一覧!$A$168:B241,2,FALSE)</f>
        <v>ｃ1</v>
      </c>
      <c r="O70" s="71">
        <f>IF(IF(F70=0,0,ROUND(F70/10^INT(LOG(F70)),2)*10^INT(LOG(F70)))*IF(L70=0,0,ROUND(L70/10^INT(LOG(L70)),2)*10^INT(LOG(L70)))=0,0,ROUND(IF(F70=0,0,ROUND(F70/10^INT(LOG(F70)),2)*10^INT(LOG(F70)))*IF(L70=0,0,ROUND(L70/10^INT(LOG(L70)),2)*10^INT(LOG(L70)))/10^INT(LOG(IF(F70=0,0,ROUND(F70/10^INT(LOG(F70)),2)*10^INT(LOG(F70)))*IF(L70=0,0,ROUND(L70/10^INT(LOG(L70)),2)*10^INT(LOG(L70))))),2)*10^INT(LOG(IF(F70=0,0,ROUND(F70/10^INT(LOG(F70)),2)*10^INT(LOG(F70)))*IF(L70=0,0,ROUND(L70/10^INT(LOG(L70)),2)*10^INT(LOG(L70))))))</f>
        <v>0</v>
      </c>
      <c r="P70" s="27"/>
      <c r="Q70" s="89" t="e">
        <f t="shared" si="11"/>
        <v>#DIV/0!</v>
      </c>
      <c r="R70" s="89" t="e">
        <f t="shared" si="12"/>
        <v>#DIV/0!</v>
      </c>
      <c r="S70" s="70"/>
      <c r="T70" s="70"/>
    </row>
    <row r="71" spans="1:20" s="11" customFormat="1" ht="39.75" customHeight="1">
      <c r="A71" s="503" t="str">
        <f t="shared" si="0"/>
        <v/>
      </c>
      <c r="B71" s="226" t="s">
        <v>1031</v>
      </c>
      <c r="C71" s="63" t="s">
        <v>1033</v>
      </c>
      <c r="D71" s="290" t="s">
        <v>25</v>
      </c>
      <c r="E71" s="56" t="s">
        <v>722</v>
      </c>
      <c r="F71" s="303">
        <f>'(5)データの根拠'!H84</f>
        <v>0</v>
      </c>
      <c r="G71" s="303" t="str">
        <f>'(5)データの根拠'!I84</f>
        <v>tkm</v>
      </c>
      <c r="H71" s="299" t="str">
        <f>'(5)データの根拠'!A84</f>
        <v>C7</v>
      </c>
      <c r="I71" s="25" t="s">
        <v>69</v>
      </c>
      <c r="J71" s="290" t="s">
        <v>483</v>
      </c>
      <c r="K71" s="310" t="s">
        <v>477</v>
      </c>
      <c r="L71" s="291">
        <v>0.32500000000000001</v>
      </c>
      <c r="M71" s="26" t="s">
        <v>481</v>
      </c>
      <c r="N71" s="290" t="str">
        <f>VLOOKUP(I71,原単位一覧!$A$168:B242,2,FALSE)</f>
        <v>ａ1</v>
      </c>
      <c r="O71" s="71">
        <f>IF(IF(F71=0,0,ROUND(F71/10^INT(LOG(F71)),2)*10^INT(LOG(F71)))*IF(L71=0,0,ROUND(L71/10^INT(LOG(L71)),2)*10^INT(LOG(L71)))=0,0,ROUND(IF(F71=0,0,ROUND(F71/10^INT(LOG(F71)),2)*10^INT(LOG(F71)))*IF(L71=0,0,ROUND(L71/10^INT(LOG(L71)),2)*10^INT(LOG(L71)))/10^INT(LOG(IF(F71=0,0,ROUND(F71/10^INT(LOG(F71)),2)*10^INT(LOG(F71)))*IF(L71=0,0,ROUND(L71/10^INT(LOG(L71)),2)*10^INT(LOG(L71))))),2)*10^INT(LOG(IF(F71=0,0,ROUND(F71/10^INT(LOG(F71)),2)*10^INT(LOG(F71)))*IF(L71=0,0,ROUND(L71/10^INT(LOG(L71)),2)*10^INT(LOG(L71))))))</f>
        <v>0</v>
      </c>
      <c r="P71" s="27"/>
      <c r="Q71" s="89" t="e">
        <f t="shared" si="11"/>
        <v>#DIV/0!</v>
      </c>
      <c r="R71" s="89" t="e">
        <f t="shared" si="12"/>
        <v>#DIV/0!</v>
      </c>
      <c r="S71" s="70"/>
      <c r="T71" s="70"/>
    </row>
    <row r="72" spans="1:20" s="11" customFormat="1" ht="40.5">
      <c r="A72" s="503" t="str">
        <f t="shared" si="0"/>
        <v/>
      </c>
      <c r="B72" s="226" t="s">
        <v>507</v>
      </c>
      <c r="C72" s="63" t="s">
        <v>1032</v>
      </c>
      <c r="D72" s="290" t="s">
        <v>25</v>
      </c>
      <c r="E72" s="56" t="s">
        <v>288</v>
      </c>
      <c r="F72" s="303">
        <f>'(5)データの根拠'!H86</f>
        <v>0</v>
      </c>
      <c r="G72" s="303" t="str">
        <f>'(5)データの根拠'!I86</f>
        <v>枚</v>
      </c>
      <c r="H72" s="299" t="str">
        <f>'(5)データの根拠'!A86</f>
        <v>Ｃ8</v>
      </c>
      <c r="I72" s="25" t="s">
        <v>57</v>
      </c>
      <c r="J72" s="290" t="s">
        <v>195</v>
      </c>
      <c r="K72" s="56" t="s">
        <v>576</v>
      </c>
      <c r="L72" s="44">
        <v>5.8999999999999998E-5</v>
      </c>
      <c r="M72" s="26" t="s">
        <v>577</v>
      </c>
      <c r="N72" s="290" t="str">
        <f>VLOOKUP(I72,原単位一覧!$A$168:B242,2,FALSE)</f>
        <v>ｃ1</v>
      </c>
      <c r="O72" s="71">
        <f t="shared" si="10"/>
        <v>0</v>
      </c>
      <c r="P72" s="27"/>
      <c r="Q72" s="89" t="e">
        <f t="shared" si="11"/>
        <v>#DIV/0!</v>
      </c>
      <c r="R72" s="89" t="e">
        <f t="shared" si="12"/>
        <v>#DIV/0!</v>
      </c>
      <c r="S72" s="70"/>
      <c r="T72" s="70"/>
    </row>
    <row r="73" spans="1:20" s="11" customFormat="1" ht="40.5">
      <c r="A73" s="503" t="str">
        <f t="shared" si="0"/>
        <v/>
      </c>
      <c r="B73" s="470" t="s">
        <v>1035</v>
      </c>
      <c r="C73" s="225" t="s">
        <v>1030</v>
      </c>
      <c r="D73" s="290" t="s">
        <v>25</v>
      </c>
      <c r="E73" s="56" t="s">
        <v>1036</v>
      </c>
      <c r="F73" s="303">
        <f>'(5)データの根拠'!H87</f>
        <v>0</v>
      </c>
      <c r="G73" s="303" t="str">
        <f>'(5)データの根拠'!I87</f>
        <v>tkm</v>
      </c>
      <c r="H73" s="299" t="str">
        <f>'(5)データの根拠'!A87</f>
        <v>Ｃ9</v>
      </c>
      <c r="I73" s="25" t="s">
        <v>69</v>
      </c>
      <c r="J73" s="290" t="s">
        <v>483</v>
      </c>
      <c r="K73" s="310" t="s">
        <v>477</v>
      </c>
      <c r="L73" s="291">
        <v>0.32500000000000001</v>
      </c>
      <c r="M73" s="26" t="s">
        <v>481</v>
      </c>
      <c r="N73" s="290" t="str">
        <f>VLOOKUP(I73,原単位一覧!$A$168:B243,2,FALSE)</f>
        <v>ａ1</v>
      </c>
      <c r="O73" s="71">
        <f t="shared" ref="O73:O74" si="13">IF(IF(F73=0,0,ROUND(F73/10^INT(LOG(F73)),2)*10^INT(LOG(F73)))*IF(L73=0,0,ROUND(L73/10^INT(LOG(L73)),2)*10^INT(LOG(L73)))=0,0,ROUND(IF(F73=0,0,ROUND(F73/10^INT(LOG(F73)),2)*10^INT(LOG(F73)))*IF(L73=0,0,ROUND(L73/10^INT(LOG(L73)),2)*10^INT(LOG(L73)))/10^INT(LOG(IF(F73=0,0,ROUND(F73/10^INT(LOG(F73)),2)*10^INT(LOG(F73)))*IF(L73=0,0,ROUND(L73/10^INT(LOG(L73)),2)*10^INT(LOG(L73))))),2)*10^INT(LOG(IF(F73=0,0,ROUND(F73/10^INT(LOG(F73)),2)*10^INT(LOG(F73)))*IF(L73=0,0,ROUND(L73/10^INT(LOG(L73)),2)*10^INT(LOG(L73))))))</f>
        <v>0</v>
      </c>
      <c r="P73" s="27"/>
      <c r="Q73" s="89" t="e">
        <f t="shared" ref="Q73:Q74" si="14">O73/$O$76</f>
        <v>#DIV/0!</v>
      </c>
      <c r="R73" s="89" t="e">
        <f t="shared" si="12"/>
        <v>#DIV/0!</v>
      </c>
      <c r="S73" s="70"/>
      <c r="T73" s="70"/>
    </row>
    <row r="74" spans="1:20" s="11" customFormat="1" ht="40.5">
      <c r="A74" s="503" t="str">
        <f t="shared" si="0"/>
        <v/>
      </c>
      <c r="B74" s="470" t="s">
        <v>1035</v>
      </c>
      <c r="C74" s="225" t="s">
        <v>1033</v>
      </c>
      <c r="D74" s="290" t="s">
        <v>25</v>
      </c>
      <c r="E74" s="56" t="s">
        <v>288</v>
      </c>
      <c r="F74" s="303">
        <f>'(5)データの根拠'!H89</f>
        <v>0</v>
      </c>
      <c r="G74" s="303" t="str">
        <f>'(5)データの根拠'!I89</f>
        <v>tkm</v>
      </c>
      <c r="H74" s="299" t="str">
        <f>'(5)データの根拠'!A89</f>
        <v>Ｃ10</v>
      </c>
      <c r="I74" s="25" t="s">
        <v>69</v>
      </c>
      <c r="J74" s="290" t="s">
        <v>483</v>
      </c>
      <c r="K74" s="310" t="s">
        <v>477</v>
      </c>
      <c r="L74" s="291">
        <v>0.32500000000000001</v>
      </c>
      <c r="M74" s="26" t="s">
        <v>481</v>
      </c>
      <c r="N74" s="290" t="str">
        <f>VLOOKUP(I74,原単位一覧!$A$168:B244,2,FALSE)</f>
        <v>ａ1</v>
      </c>
      <c r="O74" s="71">
        <f t="shared" si="13"/>
        <v>0</v>
      </c>
      <c r="P74" s="27"/>
      <c r="Q74" s="89" t="e">
        <f t="shared" si="14"/>
        <v>#DIV/0!</v>
      </c>
      <c r="R74" s="89" t="e">
        <f t="shared" si="12"/>
        <v>#DIV/0!</v>
      </c>
      <c r="S74" s="70"/>
      <c r="T74" s="70"/>
    </row>
    <row r="75" spans="1:20" s="11" customFormat="1" ht="32.25" customHeight="1" thickBot="1">
      <c r="A75" s="503" t="str">
        <f t="shared" si="0"/>
        <v/>
      </c>
      <c r="B75" s="224"/>
      <c r="C75" s="225"/>
      <c r="D75" s="290"/>
      <c r="E75" s="59"/>
      <c r="F75" s="307"/>
      <c r="G75" s="308"/>
      <c r="H75" s="309"/>
      <c r="I75" s="25"/>
      <c r="J75" s="290"/>
      <c r="K75" s="59"/>
      <c r="L75" s="46"/>
      <c r="M75" s="29"/>
      <c r="N75" s="28"/>
      <c r="O75" s="71">
        <f t="shared" si="10"/>
        <v>0</v>
      </c>
      <c r="P75" s="30"/>
      <c r="Q75" s="89" t="e">
        <f t="shared" si="11"/>
        <v>#DIV/0!</v>
      </c>
      <c r="R75" s="89" t="e">
        <f t="shared" si="12"/>
        <v>#DIV/0!</v>
      </c>
      <c r="S75" s="70"/>
      <c r="T75" s="70"/>
    </row>
    <row r="76" spans="1:20" s="11" customFormat="1" ht="21" customHeight="1" thickTop="1" thickBot="1">
      <c r="A76" s="503" t="s">
        <v>823</v>
      </c>
      <c r="B76" s="967" t="s">
        <v>39</v>
      </c>
      <c r="C76" s="968"/>
      <c r="D76" s="85"/>
      <c r="E76" s="86"/>
      <c r="F76" s="87"/>
      <c r="G76" s="87"/>
      <c r="H76" s="87"/>
      <c r="I76" s="87"/>
      <c r="J76" s="87"/>
      <c r="K76" s="86"/>
      <c r="L76" s="87"/>
      <c r="M76" s="87"/>
      <c r="N76" s="87"/>
      <c r="O76" s="72">
        <f>IF(SUM(O65:O75)=0,0,ROUND(SUM(O65:O75)/10^INT(LOG(SUM(O65:O75))),2)*10^INT(LOG(SUM(O65:O75))))</f>
        <v>0</v>
      </c>
      <c r="P76" s="40"/>
      <c r="Q76" s="40"/>
      <c r="R76" s="84"/>
      <c r="T76" s="70"/>
    </row>
    <row r="77" spans="1:20" s="11" customFormat="1" ht="21" customHeight="1" thickBot="1">
      <c r="A77" s="503" t="s">
        <v>824</v>
      </c>
      <c r="B77" s="935" t="s">
        <v>28</v>
      </c>
      <c r="C77" s="935"/>
      <c r="D77" s="935"/>
      <c r="E77" s="58"/>
      <c r="F77" s="20"/>
      <c r="G77" s="20"/>
      <c r="H77" s="19"/>
      <c r="I77" s="19"/>
      <c r="J77" s="19"/>
      <c r="K77" s="58"/>
      <c r="L77" s="20"/>
      <c r="M77" s="20"/>
      <c r="N77" s="19"/>
      <c r="O77" s="20"/>
      <c r="P77" s="19"/>
      <c r="Q77" s="81"/>
      <c r="R77" s="81"/>
    </row>
    <row r="78" spans="1:20" s="11" customFormat="1" ht="21" customHeight="1">
      <c r="A78" s="503" t="s">
        <v>824</v>
      </c>
      <c r="B78" s="936" t="s">
        <v>34</v>
      </c>
      <c r="C78" s="938" t="s">
        <v>20</v>
      </c>
      <c r="D78" s="928" t="s">
        <v>17</v>
      </c>
      <c r="E78" s="929"/>
      <c r="F78" s="929"/>
      <c r="G78" s="929"/>
      <c r="H78" s="930"/>
      <c r="I78" s="928" t="s">
        <v>18</v>
      </c>
      <c r="J78" s="931"/>
      <c r="K78" s="931"/>
      <c r="L78" s="931"/>
      <c r="M78" s="931"/>
      <c r="N78" s="932"/>
      <c r="O78" s="15" t="s">
        <v>33</v>
      </c>
      <c r="P78" s="933" t="str">
        <f>P10</f>
        <v>備　考</v>
      </c>
      <c r="Q78" s="944" t="str">
        <f>Q10</f>
        <v>段階別
寄与率</v>
      </c>
      <c r="R78" s="944" t="str">
        <f>R10</f>
        <v>全LCに対する寄与率</v>
      </c>
    </row>
    <row r="79" spans="1:20" s="11" customFormat="1" ht="36" customHeight="1" thickBot="1">
      <c r="A79" s="503" t="s">
        <v>823</v>
      </c>
      <c r="B79" s="937"/>
      <c r="C79" s="939"/>
      <c r="D79" s="16" t="s">
        <v>19</v>
      </c>
      <c r="E79" s="55" t="s">
        <v>16</v>
      </c>
      <c r="F79" s="17" t="s">
        <v>8</v>
      </c>
      <c r="G79" s="16" t="s">
        <v>15</v>
      </c>
      <c r="H79" s="18" t="s">
        <v>21</v>
      </c>
      <c r="I79" s="16" t="s">
        <v>19</v>
      </c>
      <c r="J79" s="100" t="s">
        <v>98</v>
      </c>
      <c r="K79" s="55" t="s">
        <v>22</v>
      </c>
      <c r="L79" s="17" t="s">
        <v>8</v>
      </c>
      <c r="M79" s="17" t="s">
        <v>15</v>
      </c>
      <c r="N79" s="18" t="s">
        <v>21</v>
      </c>
      <c r="O79" s="17" t="s">
        <v>35</v>
      </c>
      <c r="P79" s="934"/>
      <c r="Q79" s="945"/>
      <c r="R79" s="945"/>
    </row>
    <row r="80" spans="1:20" s="11" customFormat="1" ht="35.25" customHeight="1" thickTop="1">
      <c r="A80" s="503" t="str">
        <f t="shared" ref="A80:A102" si="15">IF(F80=0,"","●")</f>
        <v/>
      </c>
      <c r="B80" s="67" t="s">
        <v>320</v>
      </c>
      <c r="C80" s="63"/>
      <c r="D80" s="90"/>
      <c r="E80" s="56" t="str">
        <f>'(5)データの根拠'!C93</f>
        <v>返信用封筒輸送</v>
      </c>
      <c r="F80" s="303">
        <f>'(5)データの根拠'!H93</f>
        <v>0</v>
      </c>
      <c r="G80" s="306" t="s">
        <v>423</v>
      </c>
      <c r="H80" s="299" t="str">
        <f>'(5)データの根拠'!A93</f>
        <v>Ｄ1</v>
      </c>
      <c r="I80" s="25" t="s">
        <v>69</v>
      </c>
      <c r="J80" s="290" t="s">
        <v>483</v>
      </c>
      <c r="K80" s="292" t="s">
        <v>477</v>
      </c>
      <c r="L80" s="291">
        <v>0.32500000000000001</v>
      </c>
      <c r="M80" s="26" t="s">
        <v>481</v>
      </c>
      <c r="N80" s="90" t="str">
        <f>VLOOKUP(I80,原単位一覧!$A$168:B249,2,FALSE)</f>
        <v>ａ1</v>
      </c>
      <c r="O80" s="71">
        <f>IF(IF(F80=0,0,ROUND(F80/10^INT(LOG(F80)),2)*10^INT(LOG(F80)))*IF(L80=0,0,ROUND(L80/10^INT(LOG(L80)),2)*10^INT(LOG(L80)))=0,0,ROUND(IF(F80=0,0,ROUND(F80/10^INT(LOG(F80)),2)*10^INT(LOG(F80)))*IF(L80=0,0,ROUND(L80/10^INT(LOG(L80)),2)*10^INT(LOG(L80)))/10^INT(LOG(IF(F80=0,0,ROUND(F80/10^INT(LOG(F80)),2)*10^INT(LOG(F80)))*IF(L80=0,0,ROUND(L80/10^INT(LOG(L80)),2)*10^INT(LOG(L80))))),2)*10^INT(LOG(IF(F80=0,0,ROUND(F80/10^INT(LOG(F80)),2)*10^INT(LOG(F80)))*IF(L80=0,0,ROUND(L80/10^INT(LOG(L80)),2)*10^INT(LOG(L80))))))</f>
        <v>0</v>
      </c>
      <c r="P80" s="27"/>
      <c r="Q80" s="89" t="e">
        <f>O80/$O$84</f>
        <v>#DIV/0!</v>
      </c>
      <c r="R80" s="89" t="e">
        <f>O80/$Q$107</f>
        <v>#DIV/0!</v>
      </c>
      <c r="S80" s="70" t="s">
        <v>516</v>
      </c>
      <c r="T80" s="70"/>
    </row>
    <row r="81" spans="1:20" s="11" customFormat="1" ht="35.25" customHeight="1">
      <c r="A81" s="503" t="str">
        <f t="shared" si="15"/>
        <v/>
      </c>
      <c r="B81" s="67" t="s">
        <v>320</v>
      </c>
      <c r="C81" s="63"/>
      <c r="D81" s="90"/>
      <c r="E81" s="56" t="str">
        <f>'(5)データの根拠'!C95</f>
        <v>製品（返信用紙）輸送</v>
      </c>
      <c r="F81" s="303">
        <f>'(5)データの根拠'!H95</f>
        <v>0</v>
      </c>
      <c r="G81" s="306" t="s">
        <v>423</v>
      </c>
      <c r="H81" s="299" t="str">
        <f>'(5)データの根拠'!A95</f>
        <v>Ｄ2</v>
      </c>
      <c r="I81" s="25" t="s">
        <v>69</v>
      </c>
      <c r="J81" s="290" t="s">
        <v>483</v>
      </c>
      <c r="K81" s="292" t="s">
        <v>477</v>
      </c>
      <c r="L81" s="291">
        <v>0.32500000000000001</v>
      </c>
      <c r="M81" s="26" t="s">
        <v>481</v>
      </c>
      <c r="N81" s="90" t="str">
        <f>VLOOKUP(I81,原単位一覧!$A$168:B250,2,FALSE)</f>
        <v>ａ1</v>
      </c>
      <c r="O81" s="71">
        <f>IF(IF(F81=0,0,ROUND(F81/10^INT(LOG(F81)),2)*10^INT(LOG(F81)))*IF(L81=0,0,ROUND(L81/10^INT(LOG(L81)),2)*10^INT(LOG(L81)))=0,0,ROUND(IF(F81=0,0,ROUND(F81/10^INT(LOG(F81)),2)*10^INT(LOG(F81)))*IF(L81=0,0,ROUND(L81/10^INT(LOG(L81)),2)*10^INT(LOG(L81)))/10^INT(LOG(IF(F81=0,0,ROUND(F81/10^INT(LOG(F81)),2)*10^INT(LOG(F81)))*IF(L81=0,0,ROUND(L81/10^INT(LOG(L81)),2)*10^INT(LOG(L81))))),2)*10^INT(LOG(IF(F81=0,0,ROUND(F81/10^INT(LOG(F81)),2)*10^INT(LOG(F81)))*IF(L81=0,0,ROUND(L81/10^INT(LOG(L81)),2)*10^INT(LOG(L81))))))</f>
        <v>0</v>
      </c>
      <c r="P81" s="27"/>
      <c r="Q81" s="89" t="e">
        <f>O81/$O$84</f>
        <v>#DIV/0!</v>
      </c>
      <c r="R81" s="89" t="e">
        <f>O81/$Q$107</f>
        <v>#DIV/0!</v>
      </c>
      <c r="S81" s="70"/>
      <c r="T81" s="70"/>
    </row>
    <row r="82" spans="1:20" s="11" customFormat="1" ht="35.25" customHeight="1">
      <c r="A82" s="503" t="str">
        <f t="shared" si="15"/>
        <v/>
      </c>
      <c r="B82" s="67"/>
      <c r="C82" s="63"/>
      <c r="D82" s="90"/>
      <c r="E82" s="56"/>
      <c r="F82" s="303"/>
      <c r="G82" s="306"/>
      <c r="H82" s="299"/>
      <c r="I82" s="25"/>
      <c r="J82" s="290"/>
      <c r="K82" s="56"/>
      <c r="L82" s="44"/>
      <c r="M82" s="26"/>
      <c r="N82" s="25"/>
      <c r="O82" s="71">
        <f>IF(IF(F82=0,0,ROUND(F82/10^INT(LOG(F82)),2)*10^INT(LOG(F82)))*IF(L82=0,0,ROUND(L82/10^INT(LOG(L82)),2)*10^INT(LOG(L82)))=0,0,ROUND(IF(F82=0,0,ROUND(F82/10^INT(LOG(F82)),2)*10^INT(LOG(F82)))*IF(L82=0,0,ROUND(L82/10^INT(LOG(L82)),2)*10^INT(LOG(L82)))/10^INT(LOG(IF(F82=0,0,ROUND(F82/10^INT(LOG(F82)),2)*10^INT(LOG(F82)))*IF(L82=0,0,ROUND(L82/10^INT(LOG(L82)),2)*10^INT(LOG(L82))))),2)*10^INT(LOG(IF(F82=0,0,ROUND(F82/10^INT(LOG(F82)),2)*10^INT(LOG(F82)))*IF(L82=0,0,ROUND(L82/10^INT(LOG(L82)),2)*10^INT(LOG(L82))))))</f>
        <v>0</v>
      </c>
      <c r="P82" s="27"/>
      <c r="Q82" s="89" t="e">
        <f>O82/$O$84</f>
        <v>#DIV/0!</v>
      </c>
      <c r="R82" s="89" t="e">
        <f>O82/$Q$107</f>
        <v>#DIV/0!</v>
      </c>
      <c r="S82" s="70"/>
      <c r="T82" s="70"/>
    </row>
    <row r="83" spans="1:20" s="11" customFormat="1" ht="35.25" customHeight="1" thickBot="1">
      <c r="A83" s="503" t="s">
        <v>823</v>
      </c>
      <c r="B83" s="68"/>
      <c r="C83" s="64"/>
      <c r="D83" s="90"/>
      <c r="E83" s="59"/>
      <c r="F83" s="307"/>
      <c r="G83" s="308"/>
      <c r="H83" s="309"/>
      <c r="I83" s="25"/>
      <c r="J83" s="290"/>
      <c r="K83" s="59"/>
      <c r="L83" s="46"/>
      <c r="M83" s="29"/>
      <c r="N83" s="28"/>
      <c r="O83" s="71">
        <f>IF(IF(F83=0,0,ROUND(F83/10^INT(LOG(F83)),2)*10^INT(LOG(F83)))*IF(L83=0,0,ROUND(L83/10^INT(LOG(L83)),2)*10^INT(LOG(L83)))=0,0,ROUND(IF(F83=0,0,ROUND(F83/10^INT(LOG(F83)),2)*10^INT(LOG(F83)))*IF(L83=0,0,ROUND(L83/10^INT(LOG(L83)),2)*10^INT(LOG(L83)))/10^INT(LOG(IF(F83=0,0,ROUND(F83/10^INT(LOG(F83)),2)*10^INT(LOG(F83)))*IF(L83=0,0,ROUND(L83/10^INT(LOG(L83)),2)*10^INT(LOG(L83))))),2)*10^INT(LOG(IF(F83=0,0,ROUND(F83/10^INT(LOG(F83)),2)*10^INT(LOG(F83)))*IF(L83=0,0,ROUND(L83/10^INT(LOG(L83)),2)*10^INT(LOG(L83))))))</f>
        <v>0</v>
      </c>
      <c r="P83" s="30"/>
      <c r="Q83" s="89" t="e">
        <f>O83/$O$84</f>
        <v>#DIV/0!</v>
      </c>
      <c r="R83" s="89" t="e">
        <f>O83/$Q$107</f>
        <v>#DIV/0!</v>
      </c>
      <c r="S83" s="70"/>
      <c r="T83" s="70"/>
    </row>
    <row r="84" spans="1:20" s="11" customFormat="1" ht="21" customHeight="1" thickTop="1" thickBot="1">
      <c r="A84" s="503" t="s">
        <v>824</v>
      </c>
      <c r="B84" s="940" t="s">
        <v>39</v>
      </c>
      <c r="C84" s="941"/>
      <c r="D84" s="85"/>
      <c r="E84" s="86"/>
      <c r="F84" s="87"/>
      <c r="G84" s="87"/>
      <c r="H84" s="87"/>
      <c r="I84" s="87"/>
      <c r="J84" s="87"/>
      <c r="K84" s="86"/>
      <c r="L84" s="87"/>
      <c r="M84" s="87"/>
      <c r="N84" s="87"/>
      <c r="O84" s="72">
        <f>IF(SUM(O80:O83)=0,0,ROUND(SUM(O80:O83)/10^INT(LOG(SUM(O80:O83))),2)*10^INT(LOG(SUM(O80:O83))))</f>
        <v>0</v>
      </c>
      <c r="P84" s="40"/>
      <c r="Q84" s="40"/>
      <c r="R84" s="84"/>
      <c r="T84" s="70"/>
    </row>
    <row r="85" spans="1:20" s="11" customFormat="1" ht="21" customHeight="1" thickBot="1">
      <c r="A85" s="503" t="s">
        <v>824</v>
      </c>
      <c r="B85" s="935" t="s">
        <v>29</v>
      </c>
      <c r="C85" s="935"/>
      <c r="D85" s="935"/>
      <c r="E85" s="58"/>
      <c r="F85" s="20"/>
      <c r="G85" s="20"/>
      <c r="H85" s="19"/>
      <c r="I85" s="19"/>
      <c r="J85" s="19"/>
      <c r="K85" s="58"/>
      <c r="L85" s="20"/>
      <c r="M85" s="20"/>
      <c r="N85" s="19"/>
      <c r="O85" s="20"/>
      <c r="P85" s="19"/>
      <c r="Q85" s="81"/>
      <c r="R85" s="81"/>
    </row>
    <row r="86" spans="1:20" s="11" customFormat="1" ht="21" customHeight="1">
      <c r="A86" s="503" t="s">
        <v>824</v>
      </c>
      <c r="B86" s="936" t="s">
        <v>36</v>
      </c>
      <c r="C86" s="938" t="s">
        <v>20</v>
      </c>
      <c r="D86" s="928" t="s">
        <v>17</v>
      </c>
      <c r="E86" s="929"/>
      <c r="F86" s="929"/>
      <c r="G86" s="929"/>
      <c r="H86" s="930"/>
      <c r="I86" s="928" t="s">
        <v>18</v>
      </c>
      <c r="J86" s="931"/>
      <c r="K86" s="931"/>
      <c r="L86" s="931"/>
      <c r="M86" s="931"/>
      <c r="N86" s="932"/>
      <c r="O86" s="15" t="s">
        <v>33</v>
      </c>
      <c r="P86" s="933" t="str">
        <f>P10</f>
        <v>備　考</v>
      </c>
      <c r="Q86" s="944" t="str">
        <f>Q10</f>
        <v>段階別
寄与率</v>
      </c>
      <c r="R86" s="944" t="str">
        <f>R10</f>
        <v>全LCに対する寄与率</v>
      </c>
    </row>
    <row r="87" spans="1:20" s="11" customFormat="1" ht="36" customHeight="1" thickBot="1">
      <c r="A87" s="503" t="s">
        <v>824</v>
      </c>
      <c r="B87" s="937"/>
      <c r="C87" s="939"/>
      <c r="D87" s="16" t="s">
        <v>19</v>
      </c>
      <c r="E87" s="55" t="s">
        <v>16</v>
      </c>
      <c r="F87" s="17" t="s">
        <v>8</v>
      </c>
      <c r="G87" s="16" t="s">
        <v>15</v>
      </c>
      <c r="H87" s="18" t="s">
        <v>21</v>
      </c>
      <c r="I87" s="16" t="s">
        <v>19</v>
      </c>
      <c r="J87" s="100" t="s">
        <v>98</v>
      </c>
      <c r="K87" s="55" t="s">
        <v>22</v>
      </c>
      <c r="L87" s="17" t="s">
        <v>8</v>
      </c>
      <c r="M87" s="17" t="s">
        <v>15</v>
      </c>
      <c r="N87" s="18" t="s">
        <v>21</v>
      </c>
      <c r="O87" s="17" t="s">
        <v>35</v>
      </c>
      <c r="P87" s="934"/>
      <c r="Q87" s="945"/>
      <c r="R87" s="945"/>
    </row>
    <row r="88" spans="1:20" s="11" customFormat="1" ht="38.25" customHeight="1" thickTop="1">
      <c r="A88" s="503" t="str">
        <f t="shared" si="15"/>
        <v/>
      </c>
      <c r="B88" s="67" t="s">
        <v>579</v>
      </c>
      <c r="C88" s="63" t="s">
        <v>597</v>
      </c>
      <c r="D88" s="90"/>
      <c r="E88" s="56" t="str">
        <f>'(5)データの根拠'!C99</f>
        <v>封筒輸送</v>
      </c>
      <c r="F88" s="303">
        <f>'(5)データの根拠'!H99</f>
        <v>0</v>
      </c>
      <c r="G88" s="306" t="s">
        <v>517</v>
      </c>
      <c r="H88" s="299" t="str">
        <f>'(5)データの根拠'!A99</f>
        <v>E1</v>
      </c>
      <c r="I88" s="25" t="s">
        <v>69</v>
      </c>
      <c r="J88" s="290" t="str">
        <f>原単位一覧!H104</f>
        <v>B-JP525026</v>
      </c>
      <c r="K88" s="292" t="str">
        <f>原単位一覧!D104</f>
        <v>トラック輸送（2トン車：積載率25%）</v>
      </c>
      <c r="L88" s="311">
        <f>原単位一覧!E104</f>
        <v>0.89600000000000002</v>
      </c>
      <c r="M88" s="290" t="str">
        <f>原単位一覧!F104</f>
        <v>kg-CO2/ｔ㎞</v>
      </c>
      <c r="N88" s="300" t="str">
        <f>VLOOKUP(I88,原単位一覧!$A$168:B258,2,FALSE)</f>
        <v>ａ1</v>
      </c>
      <c r="O88" s="71">
        <f>IF(IF(F88=0,0,ROUND(F88/10^INT(LOG(F88)),2)*10^INT(LOG(F88)))*IF(L88=0,0,ROUND(L88/10^INT(LOG(L88)),2)*10^INT(LOG(L88)))=0,0,ROUND(IF(F88=0,0,ROUND(F88/10^INT(LOG(F88)),2)*10^INT(LOG(F88)))*IF(L88=0,0,ROUND(L88/10^INT(LOG(L88)),2)*10^INT(LOG(L88)))/10^INT(LOG(IF(F88=0,0,ROUND(F88/10^INT(LOG(F88)),2)*10^INT(LOG(F88)))*IF(L88=0,0,ROUND(L88/10^INT(LOG(L88)),2)*10^INT(LOG(L88))))),2)*10^INT(LOG(IF(F88=0,0,ROUND(F88/10^INT(LOG(F88)),2)*10^INT(LOG(F88)))*IF(L88=0,0,ROUND(L88/10^INT(LOG(L88)),2)*10^INT(LOG(L88))))))</f>
        <v>0</v>
      </c>
      <c r="P88" s="27"/>
      <c r="Q88" s="89" t="e">
        <f>O88/$O$104</f>
        <v>#DIV/0!</v>
      </c>
      <c r="R88" s="89" t="e">
        <f>O88/$Q$107</f>
        <v>#DIV/0!</v>
      </c>
      <c r="S88" s="70"/>
      <c r="T88" s="70"/>
    </row>
    <row r="89" spans="1:20" s="11" customFormat="1" ht="38.25" customHeight="1">
      <c r="A89" s="503"/>
      <c r="B89" s="67" t="s">
        <v>579</v>
      </c>
      <c r="C89" s="63" t="s">
        <v>597</v>
      </c>
      <c r="D89" s="90"/>
      <c r="E89" s="56" t="str">
        <f>'(5)データの根拠'!C101</f>
        <v>製品リサイクル輸送</v>
      </c>
      <c r="F89" s="303">
        <f>'(5)データの根拠'!H101</f>
        <v>0</v>
      </c>
      <c r="G89" s="306" t="s">
        <v>423</v>
      </c>
      <c r="H89" s="299" t="str">
        <f>'(5)データの根拠'!A101</f>
        <v>E2</v>
      </c>
      <c r="I89" s="25" t="s">
        <v>69</v>
      </c>
      <c r="J89" s="290" t="str">
        <f>原単位一覧!H105</f>
        <v>B-JP525025</v>
      </c>
      <c r="K89" s="292" t="str">
        <f>原単位一覧!D105</f>
        <v>トラック輸送（2トン車：積載率50%）</v>
      </c>
      <c r="L89" s="311">
        <f>原単位一覧!E105</f>
        <v>0.51</v>
      </c>
      <c r="M89" s="311" t="str">
        <f>原単位一覧!F105</f>
        <v>kg-CO2/ｔ㎞</v>
      </c>
      <c r="N89" s="300" t="str">
        <f>VLOOKUP(I89,原単位一覧!$A$168:B259,2,FALSE)</f>
        <v>ａ1</v>
      </c>
      <c r="O89" s="71">
        <f>IF(IF(F89=0,0,ROUND(F89/10^INT(LOG(F89)),2)*10^INT(LOG(F89)))*IF(L89=0,0,ROUND(L89/10^INT(LOG(L89)),2)*10^INT(LOG(L89)))=0,0,ROUND(IF(F89=0,0,ROUND(F89/10^INT(LOG(F89)),2)*10^INT(LOG(F89)))*IF(L89=0,0,ROUND(L89/10^INT(LOG(L89)),2)*10^INT(LOG(L89)))/10^INT(LOG(IF(F89=0,0,ROUND(F89/10^INT(LOG(F89)),2)*10^INT(LOG(F89)))*IF(L89=0,0,ROUND(L89/10^INT(LOG(L89)),2)*10^INT(LOG(L89))))),2)*10^INT(LOG(IF(F89=0,0,ROUND(F89/10^INT(LOG(F89)),2)*10^INT(LOG(F89)))*IF(L89=0,0,ROUND(L89/10^INT(LOG(L89)),2)*10^INT(LOG(L89))))))</f>
        <v>0</v>
      </c>
      <c r="P89" s="27"/>
      <c r="Q89" s="89" t="e">
        <f>O89/$O$104</f>
        <v>#DIV/0!</v>
      </c>
      <c r="R89" s="89" t="e">
        <f>O89/$Q$107</f>
        <v>#DIV/0!</v>
      </c>
      <c r="S89" s="70"/>
      <c r="T89" s="70"/>
    </row>
    <row r="90" spans="1:20" s="11" customFormat="1" ht="38.25" customHeight="1">
      <c r="A90" s="503" t="str">
        <f t="shared" si="15"/>
        <v/>
      </c>
      <c r="B90" s="67" t="s">
        <v>579</v>
      </c>
      <c r="C90" s="63" t="s">
        <v>597</v>
      </c>
      <c r="D90" s="90"/>
      <c r="E90" s="56" t="str">
        <f>'(5)データの根拠'!C104</f>
        <v>製品焼却輸送</v>
      </c>
      <c r="F90" s="303">
        <f>'(5)データの根拠'!H104</f>
        <v>0</v>
      </c>
      <c r="G90" s="306" t="s">
        <v>423</v>
      </c>
      <c r="H90" s="299" t="str">
        <f>'(5)データの根拠'!A104</f>
        <v>E3</v>
      </c>
      <c r="I90" s="25" t="s">
        <v>69</v>
      </c>
      <c r="J90" s="290" t="str">
        <f>原単位一覧!H104</f>
        <v>B-JP525026</v>
      </c>
      <c r="K90" s="292" t="str">
        <f>原単位一覧!D104</f>
        <v>トラック輸送（2トン車：積載率25%）</v>
      </c>
      <c r="L90" s="311">
        <f>原単位一覧!E104</f>
        <v>0.89600000000000002</v>
      </c>
      <c r="M90" s="290" t="str">
        <f>原単位一覧!F104</f>
        <v>kg-CO2/ｔ㎞</v>
      </c>
      <c r="N90" s="300" t="str">
        <f>VLOOKUP(I90,原単位一覧!$A$168:B259,2,FALSE)</f>
        <v>ａ1</v>
      </c>
      <c r="O90" s="71">
        <f>IF(IF(F90=0,0,ROUND(F90/10^INT(LOG(F90)),2)*10^INT(LOG(F90)))*IF(L90=0,0,ROUND(L90/10^INT(LOG(L90)),2)*10^INT(LOG(L90)))=0,0,ROUND(IF(F90=0,0,ROUND(F90/10^INT(LOG(F90)),2)*10^INT(LOG(F90)))*IF(L90=0,0,ROUND(L90/10^INT(LOG(L90)),2)*10^INT(LOG(L90)))/10^INT(LOG(IF(F90=0,0,ROUND(F90/10^INT(LOG(F90)),2)*10^INT(LOG(F90)))*IF(L90=0,0,ROUND(L90/10^INT(LOG(L90)),2)*10^INT(LOG(L90))))),2)*10^INT(LOG(IF(F90=0,0,ROUND(F90/10^INT(LOG(F90)),2)*10^INT(LOG(F90)))*IF(L90=0,0,ROUND(L90/10^INT(LOG(L90)),2)*10^INT(LOG(L90))))))</f>
        <v>0</v>
      </c>
      <c r="P90" s="27"/>
      <c r="Q90" s="89" t="e">
        <f>O90/$O$104</f>
        <v>#DIV/0!</v>
      </c>
      <c r="R90" s="89" t="e">
        <f>O90/$Q$107</f>
        <v>#DIV/0!</v>
      </c>
      <c r="S90" s="70"/>
      <c r="T90" s="70"/>
    </row>
    <row r="91" spans="1:20" s="11" customFormat="1" ht="38.25" customHeight="1">
      <c r="A91" s="503" t="str">
        <f t="shared" si="15"/>
        <v/>
      </c>
      <c r="B91" s="67" t="s">
        <v>579</v>
      </c>
      <c r="C91" s="63" t="s">
        <v>595</v>
      </c>
      <c r="D91" s="90"/>
      <c r="E91" s="56" t="str">
        <f>'(5)データの根拠'!C107</f>
        <v>製品リサイクル処理量</v>
      </c>
      <c r="F91" s="303">
        <f>'(5)データの根拠'!H107</f>
        <v>0</v>
      </c>
      <c r="G91" s="303" t="str">
        <f>'(5)データの根拠'!I107</f>
        <v>kg</v>
      </c>
      <c r="H91" s="299" t="str">
        <f>'(5)データの根拠'!A107</f>
        <v>E4</v>
      </c>
      <c r="I91" s="25" t="s">
        <v>94</v>
      </c>
      <c r="J91" s="290" t="s">
        <v>590</v>
      </c>
      <c r="K91" s="310" t="s">
        <v>591</v>
      </c>
      <c r="L91" s="311">
        <v>9.9500000000000005E-3</v>
      </c>
      <c r="M91" s="294" t="s">
        <v>592</v>
      </c>
      <c r="N91" s="300" t="str">
        <f>VLOOKUP(I91,原単位一覧!$A$168:B260,2,FALSE)</f>
        <v>ｂ1</v>
      </c>
      <c r="O91" s="71">
        <f t="shared" ref="O91:O99" si="16">IF(IF(F91=0,0,ROUND(F91/10^INT(LOG(F91)),2)*10^INT(LOG(F91)))*IF(L91=0,0,ROUND(L91/10^INT(LOG(L91)),2)*10^INT(LOG(L91)))=0,0,ROUND(IF(F91=0,0,ROUND(F91/10^INT(LOG(F91)),2)*10^INT(LOG(F91)))*IF(L91=0,0,ROUND(L91/10^INT(LOG(L91)),2)*10^INT(LOG(L91)))/10^INT(LOG(IF(F91=0,0,ROUND(F91/10^INT(LOG(F91)),2)*10^INT(LOG(F91)))*IF(L91=0,0,ROUND(L91/10^INT(LOG(L91)),2)*10^INT(LOG(L91))))),2)*10^INT(LOG(IF(F91=0,0,ROUND(F91/10^INT(LOG(F91)),2)*10^INT(LOG(F91)))*IF(L91=0,0,ROUND(L91/10^INT(LOG(L91)),2)*10^INT(LOG(L91))))))</f>
        <v>0</v>
      </c>
      <c r="P91" s="27"/>
      <c r="Q91" s="89" t="e">
        <f t="shared" ref="Q91:Q98" si="17">O91/$O$104</f>
        <v>#DIV/0!</v>
      </c>
      <c r="R91" s="89" t="e">
        <f t="shared" ref="R91:R98" si="18">O91/$Q$107</f>
        <v>#DIV/0!</v>
      </c>
      <c r="S91" s="70"/>
      <c r="T91" s="70"/>
    </row>
    <row r="92" spans="1:20" s="11" customFormat="1" ht="38.25" customHeight="1">
      <c r="A92" s="503" t="str">
        <f t="shared" si="15"/>
        <v/>
      </c>
      <c r="B92" s="67" t="s">
        <v>579</v>
      </c>
      <c r="C92" s="63" t="s">
        <v>596</v>
      </c>
      <c r="D92" s="90"/>
      <c r="E92" s="56" t="str">
        <f>'(5)データの根拠'!C109</f>
        <v>製品焼却処理量</v>
      </c>
      <c r="F92" s="303">
        <f>'(5)データの根拠'!H109</f>
        <v>0</v>
      </c>
      <c r="G92" s="303" t="str">
        <f>'(5)データの根拠'!I109</f>
        <v>kg</v>
      </c>
      <c r="H92" s="299" t="str">
        <f>'(5)データの根拠'!A109</f>
        <v>E5</v>
      </c>
      <c r="I92" s="25" t="s">
        <v>69</v>
      </c>
      <c r="J92" s="290" t="s">
        <v>593</v>
      </c>
      <c r="K92" s="312" t="s">
        <v>594</v>
      </c>
      <c r="L92" s="311">
        <v>3.3399999999999999E-2</v>
      </c>
      <c r="M92" s="294" t="s">
        <v>592</v>
      </c>
      <c r="N92" s="300" t="str">
        <f>VLOOKUP(I92,原単位一覧!$A$168:B261,2,FALSE)</f>
        <v>ａ1</v>
      </c>
      <c r="O92" s="71">
        <f t="shared" si="16"/>
        <v>0</v>
      </c>
      <c r="P92" s="27"/>
      <c r="Q92" s="89" t="e">
        <f t="shared" si="17"/>
        <v>#DIV/0!</v>
      </c>
      <c r="R92" s="89" t="e">
        <f t="shared" si="18"/>
        <v>#DIV/0!</v>
      </c>
      <c r="S92" s="70"/>
      <c r="T92" s="70"/>
    </row>
    <row r="93" spans="1:20" s="11" customFormat="1" ht="38.25" customHeight="1">
      <c r="A93" s="503" t="str">
        <f t="shared" si="15"/>
        <v/>
      </c>
      <c r="B93" s="67" t="s">
        <v>579</v>
      </c>
      <c r="C93" s="63" t="s">
        <v>474</v>
      </c>
      <c r="D93" s="90"/>
      <c r="E93" s="56" t="str">
        <f>'(5)データの根拠'!D111</f>
        <v>インキ廃棄量①</v>
      </c>
      <c r="F93" s="303">
        <f>'(5)データの根拠'!H111</f>
        <v>0</v>
      </c>
      <c r="G93" s="303" t="str">
        <f>'(5)データの根拠'!I111</f>
        <v>枚・色</v>
      </c>
      <c r="H93" s="299" t="str">
        <f>'(5)データの根拠'!A111</f>
        <v>E6</v>
      </c>
      <c r="I93" s="25" t="s">
        <v>57</v>
      </c>
      <c r="J93" s="290" t="s">
        <v>587</v>
      </c>
      <c r="K93" s="298" t="str">
        <f>"インキ廃棄・ﾘｻｲｸﾙ "&amp;VLOOKUP(個別製品情報入力シート!E25,原単位一覧!$B$152:$F$164,1,FALSE)</f>
        <v>インキ廃棄・ﾘｻｲｸﾙ 四六半裁</v>
      </c>
      <c r="L93" s="313">
        <f>VLOOKUP(個別製品情報入力シート!E25,原単位一覧!$B$152:$F$164,2,FALSE)</f>
        <v>6.6E-4</v>
      </c>
      <c r="M93" s="300" t="str">
        <f>VLOOKUP(個別製品情報入力シート!E25,原単位一覧!$B$152:$F$164,3,FALSE)</f>
        <v>㎏-CO2/枚・色</v>
      </c>
      <c r="N93" s="300" t="str">
        <f>VLOOKUP(I93,原単位一覧!$A$168:B262,2,FALSE)</f>
        <v>ｃ1</v>
      </c>
      <c r="O93" s="71">
        <f t="shared" si="16"/>
        <v>0</v>
      </c>
      <c r="P93" s="27"/>
      <c r="Q93" s="89" t="e">
        <f t="shared" si="17"/>
        <v>#DIV/0!</v>
      </c>
      <c r="R93" s="89" t="e">
        <f t="shared" si="18"/>
        <v>#DIV/0!</v>
      </c>
      <c r="S93" s="70"/>
      <c r="T93" s="70"/>
    </row>
    <row r="94" spans="1:20" s="11" customFormat="1" ht="38.25" customHeight="1">
      <c r="A94" s="503" t="str">
        <f t="shared" si="15"/>
        <v/>
      </c>
      <c r="B94" s="67" t="s">
        <v>579</v>
      </c>
      <c r="C94" s="63" t="s">
        <v>474</v>
      </c>
      <c r="D94" s="90"/>
      <c r="E94" s="56" t="str">
        <f>'(5)データの根拠'!D112</f>
        <v>インキ廃棄量②</v>
      </c>
      <c r="F94" s="303">
        <f>'(5)データの根拠'!H112</f>
        <v>0</v>
      </c>
      <c r="G94" s="303" t="str">
        <f>'(5)データの根拠'!I112</f>
        <v>枚・色</v>
      </c>
      <c r="H94" s="299" t="str">
        <f>'(5)データの根拠'!A112</f>
        <v>Ｅ6</v>
      </c>
      <c r="I94" s="25" t="s">
        <v>57</v>
      </c>
      <c r="J94" s="290" t="s">
        <v>587</v>
      </c>
      <c r="K94" s="298" t="str">
        <f>"インキ廃棄・ﾘｻｲｸﾙ "&amp;VLOOKUP(個別製品情報入力シート!F25,原単位一覧!$B$152:$F$164,1,FALSE)</f>
        <v>インキ廃棄・ﾘｻｲｸﾙ 四六4切</v>
      </c>
      <c r="L94" s="314">
        <f>VLOOKUP(個別製品情報入力シート!F25,原単位一覧!$B$152:$F$164,2,FALSE)</f>
        <v>3.3E-4</v>
      </c>
      <c r="M94" s="306" t="str">
        <f>VLOOKUP(個別製品情報入力シート!F25,原単位一覧!$B$152:$F$164,3,FALSE)</f>
        <v>㎏-CO2/枚・色</v>
      </c>
      <c r="N94" s="300" t="str">
        <f>VLOOKUP(I94,原単位一覧!$A$168:B263,2,FALSE)</f>
        <v>ｃ1</v>
      </c>
      <c r="O94" s="71">
        <f t="shared" si="16"/>
        <v>0</v>
      </c>
      <c r="P94" s="27"/>
      <c r="Q94" s="89" t="e">
        <f t="shared" si="17"/>
        <v>#DIV/0!</v>
      </c>
      <c r="R94" s="89" t="e">
        <f t="shared" si="18"/>
        <v>#DIV/0!</v>
      </c>
      <c r="S94" s="70"/>
      <c r="T94" s="70"/>
    </row>
    <row r="95" spans="1:20" s="11" customFormat="1" ht="38.25" customHeight="1">
      <c r="A95" s="503" t="str">
        <f t="shared" si="15"/>
        <v/>
      </c>
      <c r="B95" s="67" t="s">
        <v>579</v>
      </c>
      <c r="C95" s="63" t="s">
        <v>474</v>
      </c>
      <c r="D95" s="90"/>
      <c r="E95" s="56" t="str">
        <f>'(5)データの根拠'!D113</f>
        <v>インキ廃棄量③</v>
      </c>
      <c r="F95" s="303">
        <f>'(5)データの根拠'!H113</f>
        <v>0</v>
      </c>
      <c r="G95" s="303" t="str">
        <f>'(5)データの根拠'!I113</f>
        <v>枚・色</v>
      </c>
      <c r="H95" s="299" t="str">
        <f>'(5)データの根拠'!A113</f>
        <v>Ｅ7</v>
      </c>
      <c r="I95" s="25" t="s">
        <v>57</v>
      </c>
      <c r="J95" s="290" t="s">
        <v>587</v>
      </c>
      <c r="K95" s="298" t="str">
        <f>"インキ廃棄・ﾘｻｲｸﾙ "&amp;VLOOKUP(個別製品情報入力シート!G25,原単位一覧!$B$152:$F$164,1,FALSE)</f>
        <v>インキ廃棄・ﾘｻｲｸﾙ 四六半裁</v>
      </c>
      <c r="L95" s="303">
        <f>VLOOKUP(個別製品情報入力シート!G25,原単位一覧!$B$152:$F$164,2,FALSE)</f>
        <v>6.6E-4</v>
      </c>
      <c r="M95" s="306" t="str">
        <f>VLOOKUP(個別製品情報入力シート!G25,原単位一覧!$B$152:$F$164,3,FALSE)</f>
        <v>㎏-CO2/枚・色</v>
      </c>
      <c r="N95" s="300" t="str">
        <f>VLOOKUP(I95,原単位一覧!$A$168:B264,2,FALSE)</f>
        <v>ｃ1</v>
      </c>
      <c r="O95" s="71">
        <f t="shared" si="16"/>
        <v>0</v>
      </c>
      <c r="P95" s="27"/>
      <c r="Q95" s="89" t="e">
        <f t="shared" si="17"/>
        <v>#DIV/0!</v>
      </c>
      <c r="R95" s="89" t="e">
        <f t="shared" si="18"/>
        <v>#DIV/0!</v>
      </c>
      <c r="S95" s="70"/>
      <c r="T95" s="70"/>
    </row>
    <row r="96" spans="1:20" s="11" customFormat="1" ht="38.25" customHeight="1">
      <c r="A96" s="503" t="str">
        <f t="shared" si="15"/>
        <v/>
      </c>
      <c r="B96" s="67" t="s">
        <v>579</v>
      </c>
      <c r="C96" s="63" t="s">
        <v>474</v>
      </c>
      <c r="D96" s="90"/>
      <c r="E96" s="56" t="str">
        <f>'(5)データの根拠'!D114</f>
        <v>インキ廃棄量④</v>
      </c>
      <c r="F96" s="303">
        <f>'(5)データの根拠'!H114</f>
        <v>0</v>
      </c>
      <c r="G96" s="303" t="str">
        <f>'(5)データの根拠'!I114</f>
        <v>枚・色</v>
      </c>
      <c r="H96" s="299" t="str">
        <f>'(5)データの根拠'!A114</f>
        <v>Ｅ8</v>
      </c>
      <c r="I96" s="25" t="s">
        <v>57</v>
      </c>
      <c r="J96" s="290" t="s">
        <v>587</v>
      </c>
      <c r="K96" s="298" t="str">
        <f>"インキ廃棄・ﾘｻｲｸﾙ "&amp;VLOOKUP(個別製品情報入力シート!H25,原単位一覧!$B$152:$F$164,1,FALSE)</f>
        <v>インキ廃棄・ﾘｻｲｸﾙ 四六半裁</v>
      </c>
      <c r="L96" s="303">
        <f>VLOOKUP(個別製品情報入力シート!H25,原単位一覧!$B$152:$F$164,2,FALSE)</f>
        <v>6.6E-4</v>
      </c>
      <c r="M96" s="306" t="str">
        <f>VLOOKUP(個別製品情報入力シート!H25,原単位一覧!$B$152:$F$164,3,FALSE)</f>
        <v>㎏-CO2/枚・色</v>
      </c>
      <c r="N96" s="300" t="str">
        <f>VLOOKUP(I96,原単位一覧!$A$168:B265,2,FALSE)</f>
        <v>ｃ1</v>
      </c>
      <c r="O96" s="71">
        <f t="shared" si="16"/>
        <v>0</v>
      </c>
      <c r="P96" s="27"/>
      <c r="Q96" s="89" t="e">
        <f t="shared" si="17"/>
        <v>#DIV/0!</v>
      </c>
      <c r="R96" s="89" t="e">
        <f t="shared" si="18"/>
        <v>#DIV/0!</v>
      </c>
      <c r="S96" s="70"/>
      <c r="T96" s="70"/>
    </row>
    <row r="97" spans="1:20" s="11" customFormat="1" ht="38.25" customHeight="1">
      <c r="A97" s="503" t="str">
        <f t="shared" si="15"/>
        <v/>
      </c>
      <c r="B97" s="67" t="s">
        <v>579</v>
      </c>
      <c r="C97" s="63" t="s">
        <v>474</v>
      </c>
      <c r="D97" s="90"/>
      <c r="E97" s="56" t="str">
        <f>'(5)データの根拠'!D115</f>
        <v>インキ廃棄量⑤</v>
      </c>
      <c r="F97" s="303">
        <f>'(5)データの根拠'!H115</f>
        <v>0</v>
      </c>
      <c r="G97" s="303" t="str">
        <f>'(5)データの根拠'!I115</f>
        <v>枚・色</v>
      </c>
      <c r="H97" s="299" t="str">
        <f>'(5)データの根拠'!A115</f>
        <v>Ｅ9</v>
      </c>
      <c r="I97" s="25" t="s">
        <v>57</v>
      </c>
      <c r="J97" s="290" t="s">
        <v>587</v>
      </c>
      <c r="K97" s="298" t="str">
        <f>"インキ廃棄・ﾘｻｲｸﾙ "&amp;VLOOKUP(個別製品情報入力シート!I25,原単位一覧!$B$152:$F$164,1,FALSE)</f>
        <v>インキ廃棄・ﾘｻｲｸﾙ 四六半裁</v>
      </c>
      <c r="L97" s="303">
        <f>VLOOKUP(個別製品情報入力シート!I25,原単位一覧!$B$152:$F$164,2,FALSE)</f>
        <v>6.6E-4</v>
      </c>
      <c r="M97" s="306" t="str">
        <f>VLOOKUP(個別製品情報入力シート!I25,原単位一覧!$B$152:$F$164,3,FALSE)</f>
        <v>㎏-CO2/枚・色</v>
      </c>
      <c r="N97" s="300" t="str">
        <f>VLOOKUP(I97,原単位一覧!$A$168:B266,2,FALSE)</f>
        <v>ｃ1</v>
      </c>
      <c r="O97" s="71">
        <f t="shared" si="16"/>
        <v>0</v>
      </c>
      <c r="P97" s="27"/>
      <c r="Q97" s="89" t="e">
        <f t="shared" si="17"/>
        <v>#DIV/0!</v>
      </c>
      <c r="R97" s="89" t="e">
        <f t="shared" si="18"/>
        <v>#DIV/0!</v>
      </c>
      <c r="S97" s="70"/>
      <c r="T97" s="70"/>
    </row>
    <row r="98" spans="1:20" s="11" customFormat="1" ht="38.25" customHeight="1">
      <c r="A98" s="503" t="str">
        <f t="shared" si="15"/>
        <v/>
      </c>
      <c r="B98" s="67" t="s">
        <v>579</v>
      </c>
      <c r="C98" s="63" t="s">
        <v>580</v>
      </c>
      <c r="D98" s="90"/>
      <c r="E98" s="56" t="str">
        <f>'(5)データの根拠'!D116</f>
        <v>糊廃棄量</v>
      </c>
      <c r="F98" s="303">
        <f>'(5)データの根拠'!H116</f>
        <v>0</v>
      </c>
      <c r="G98" s="298" t="str">
        <f>'(5)データの根拠'!F116</f>
        <v>部・頁・㎜</v>
      </c>
      <c r="H98" s="299" t="str">
        <f>'(5)データの根拠'!A116</f>
        <v>Ｅ10</v>
      </c>
      <c r="I98" s="25" t="s">
        <v>57</v>
      </c>
      <c r="J98" s="290" t="s">
        <v>585</v>
      </c>
      <c r="K98" s="56" t="s">
        <v>564</v>
      </c>
      <c r="L98" s="44">
        <v>2.16E-7</v>
      </c>
      <c r="M98" s="26" t="s">
        <v>586</v>
      </c>
      <c r="N98" s="300" t="str">
        <f>VLOOKUP(I98,原単位一覧!$A$168:B267,2,FALSE)</f>
        <v>ｃ1</v>
      </c>
      <c r="O98" s="71">
        <f t="shared" si="16"/>
        <v>0</v>
      </c>
      <c r="P98" s="27"/>
      <c r="Q98" s="89" t="e">
        <f t="shared" si="17"/>
        <v>#DIV/0!</v>
      </c>
      <c r="R98" s="89" t="e">
        <f t="shared" si="18"/>
        <v>#DIV/0!</v>
      </c>
      <c r="S98" s="70"/>
      <c r="T98" s="70"/>
    </row>
    <row r="99" spans="1:20" s="11" customFormat="1" ht="38.25" customHeight="1">
      <c r="A99" s="503" t="str">
        <f t="shared" si="15"/>
        <v/>
      </c>
      <c r="B99" s="67" t="s">
        <v>579</v>
      </c>
      <c r="C99" s="63" t="s">
        <v>568</v>
      </c>
      <c r="D99" s="90"/>
      <c r="E99" s="56" t="str">
        <f>'(5)データの根拠'!D117</f>
        <v>針金廃棄量</v>
      </c>
      <c r="F99" s="303">
        <f>'(5)データの根拠'!H117</f>
        <v>0</v>
      </c>
      <c r="G99" s="303" t="str">
        <f>'(5)データの根拠'!I117</f>
        <v>部</v>
      </c>
      <c r="H99" s="299" t="str">
        <f>'(5)データの根拠'!A117</f>
        <v>Ｅ11</v>
      </c>
      <c r="I99" s="25" t="s">
        <v>57</v>
      </c>
      <c r="J99" s="290" t="s">
        <v>583</v>
      </c>
      <c r="K99" s="270" t="s">
        <v>584</v>
      </c>
      <c r="L99" s="56">
        <v>1.34E-5</v>
      </c>
      <c r="M99" s="26" t="s">
        <v>582</v>
      </c>
      <c r="N99" s="300" t="str">
        <f>VLOOKUP(I99,原単位一覧!$A$168:B268,2,FALSE)</f>
        <v>ｃ1</v>
      </c>
      <c r="O99" s="71">
        <f t="shared" si="16"/>
        <v>0</v>
      </c>
      <c r="P99" s="27"/>
      <c r="Q99" s="89" t="e">
        <f>O99/$O$104</f>
        <v>#DIV/0!</v>
      </c>
      <c r="R99" s="89" t="e">
        <f>O99/$Q$107</f>
        <v>#DIV/0!</v>
      </c>
      <c r="S99" s="70"/>
      <c r="T99" s="70"/>
    </row>
    <row r="100" spans="1:20" s="11" customFormat="1" ht="38.25" customHeight="1">
      <c r="A100" s="503" t="str">
        <f t="shared" si="15"/>
        <v/>
      </c>
      <c r="B100" s="67" t="s">
        <v>579</v>
      </c>
      <c r="C100" s="63" t="s">
        <v>294</v>
      </c>
      <c r="D100" s="90"/>
      <c r="E100" s="56" t="str">
        <f>'(5)データの根拠'!D118</f>
        <v>コート層廃棄量</v>
      </c>
      <c r="F100" s="303">
        <f>'(5)データの根拠'!H118</f>
        <v>0</v>
      </c>
      <c r="G100" s="303" t="str">
        <f>'(5)データの根拠'!I118</f>
        <v>㎏</v>
      </c>
      <c r="H100" s="299" t="str">
        <f>'(5)データの根拠'!A118</f>
        <v>Ｅ12</v>
      </c>
      <c r="I100" s="25" t="s">
        <v>57</v>
      </c>
      <c r="J100" s="290" t="s">
        <v>581</v>
      </c>
      <c r="K100" s="56" t="s">
        <v>294</v>
      </c>
      <c r="L100" s="44">
        <v>8.3199999999999996E-2</v>
      </c>
      <c r="M100" s="26" t="s">
        <v>582</v>
      </c>
      <c r="N100" s="300" t="str">
        <f>VLOOKUP(I100,原単位一覧!$A$168:B269,2,FALSE)</f>
        <v>ｃ1</v>
      </c>
      <c r="O100" s="71">
        <f>IF(IF(F100=0,0,ROUND(F100/10^INT(LOG(F100)),2)*10^INT(LOG(F100)))*IF(L100=0,0,ROUND(L100/10^INT(LOG(L100)),2)*10^INT(LOG(L100)))=0,0,ROUND(IF(F100=0,0,ROUND(F100/10^INT(LOG(F100)),2)*10^INT(LOG(F100)))*IF(L100=0,0,ROUND(L100/10^INT(LOG(L100)),2)*10^INT(LOG(L100)))/10^INT(LOG(IF(F100=0,0,ROUND(F100/10^INT(LOG(F100)),2)*10^INT(LOG(F100)))*IF(L100=0,0,ROUND(L100/10^INT(LOG(L100)),2)*10^INT(LOG(L100))))),2)*10^INT(LOG(IF(F100=0,0,ROUND(F100/10^INT(LOG(F100)),2)*10^INT(LOG(F100)))*IF(L100=0,0,ROUND(L100/10^INT(LOG(L100)),2)*10^INT(LOG(L100))))))</f>
        <v>0</v>
      </c>
      <c r="P100" s="27"/>
      <c r="Q100" s="89" t="e">
        <f>O100/$O$104</f>
        <v>#DIV/0!</v>
      </c>
      <c r="R100" s="89" t="e">
        <f>O100/$Q$107</f>
        <v>#DIV/0!</v>
      </c>
      <c r="S100" s="70"/>
      <c r="T100" s="70"/>
    </row>
    <row r="101" spans="1:20" s="11" customFormat="1" ht="50.25" customHeight="1">
      <c r="A101" s="503" t="str">
        <f t="shared" si="15"/>
        <v/>
      </c>
      <c r="B101" s="67" t="s">
        <v>579</v>
      </c>
      <c r="C101" s="63" t="s">
        <v>725</v>
      </c>
      <c r="D101" s="90"/>
      <c r="E101" s="56" t="str">
        <f>'(5)データの根拠'!D119</f>
        <v>封筒枚数</v>
      </c>
      <c r="F101" s="303">
        <f>'(5)データの根拠'!H119</f>
        <v>0</v>
      </c>
      <c r="G101" s="303" t="str">
        <f>'(5)データの根拠'!I119</f>
        <v>枚</v>
      </c>
      <c r="H101" s="299" t="str">
        <f>'(5)データの根拠'!A119</f>
        <v>Ｅ13</v>
      </c>
      <c r="I101" s="25" t="s">
        <v>57</v>
      </c>
      <c r="J101" s="359" t="str">
        <f>VLOOKUP(個別製品情報入力シート!D57,原単位一覧!B142:F147,5,FALSE)</f>
        <v>PCR原単位</v>
      </c>
      <c r="K101" s="302" t="str">
        <f>"封筒の廃棄・リサイクルに係るCO2排出量 "&amp;VLOOKUP(個別製品情報入力シート!D57,原単位一覧!B136:F141,1,FALSE)</f>
        <v>封筒の廃棄・リサイクルに係るCO2排出量 なし</v>
      </c>
      <c r="L101" s="357">
        <f>VLOOKUP(個別製品情報入力シート!D57,原単位一覧!B142:F147,2,FALSE)</f>
        <v>0</v>
      </c>
      <c r="M101" s="358" t="str">
        <f>VLOOKUP(個別製品情報入力シート!D57,原単位一覧!B142:F147,3,FALSE)</f>
        <v>kg-CO2/枚</v>
      </c>
      <c r="N101" s="300" t="str">
        <f>VLOOKUP(I101,原単位一覧!$A$168:B270,2,FALSE)</f>
        <v>ｃ1</v>
      </c>
      <c r="O101" s="71">
        <f>IF(IF(F101=0,0,ROUND(F101/10^INT(LOG(F101)),2)*10^INT(LOG(F101)))*IF(L101=0,0,ROUND(L101/10^INT(LOG(L101)),2)*10^INT(LOG(L101)))=0,0,ROUND(IF(F101=0,0,ROUND(F101/10^INT(LOG(F101)),2)*10^INT(LOG(F101)))*IF(L101=0,0,ROUND(L101/10^INT(LOG(L101)),2)*10^INT(LOG(L101)))/10^INT(LOG(IF(F101=0,0,ROUND(F101/10^INT(LOG(F101)),2)*10^INT(LOG(F101)))*IF(L101=0,0,ROUND(L101/10^INT(LOG(L101)),2)*10^INT(LOG(L101))))),2)*10^INT(LOG(IF(F101=0,0,ROUND(F101/10^INT(LOG(F101)),2)*10^INT(LOG(F101)))*IF(L101=0,0,ROUND(L101/10^INT(LOG(L101)),2)*10^INT(LOG(L101))))))</f>
        <v>0</v>
      </c>
      <c r="P101" s="27"/>
      <c r="Q101" s="89" t="e">
        <f>O101/$O$104</f>
        <v>#DIV/0!</v>
      </c>
      <c r="R101" s="89" t="e">
        <f>O101/$Q$107</f>
        <v>#DIV/0!</v>
      </c>
      <c r="S101" s="70"/>
      <c r="T101" s="70"/>
    </row>
    <row r="102" spans="1:20" s="11" customFormat="1" ht="38.25" customHeight="1">
      <c r="A102" s="503" t="str">
        <f t="shared" si="15"/>
        <v/>
      </c>
      <c r="B102" s="67" t="s">
        <v>579</v>
      </c>
      <c r="C102" s="63" t="s">
        <v>726</v>
      </c>
      <c r="D102" s="90"/>
      <c r="E102" s="56" t="s">
        <v>727</v>
      </c>
      <c r="F102" s="303">
        <f>'(5)データの根拠'!E120</f>
        <v>0</v>
      </c>
      <c r="G102" s="303" t="str">
        <f>'(5)データの根拠'!F120</f>
        <v>kg</v>
      </c>
      <c r="H102" s="299" t="str">
        <f>'(5)データの根拠'!A120</f>
        <v>Ｅ14</v>
      </c>
      <c r="I102" s="25" t="s">
        <v>94</v>
      </c>
      <c r="J102" s="290" t="s">
        <v>731</v>
      </c>
      <c r="K102" s="56" t="s">
        <v>730</v>
      </c>
      <c r="L102" s="44">
        <v>3.38</v>
      </c>
      <c r="M102" s="26" t="s">
        <v>732</v>
      </c>
      <c r="N102" s="300" t="str">
        <f>VLOOKUP(I102,原単位一覧!$A$168:B271,2,FALSE)</f>
        <v>ｂ1</v>
      </c>
      <c r="O102" s="71">
        <f>IF(IF(F102=0,0,ROUND(F102/10^INT(LOG(F102)),2)*10^INT(LOG(F102)))*IF(L102=0,0,ROUND(L102/10^INT(LOG(L102)),2)*10^INT(LOG(L102)))=0,0,ROUND(IF(F102=0,0,ROUND(F102/10^INT(LOG(F102)),2)*10^INT(LOG(F102)))*IF(L102=0,0,ROUND(L102/10^INT(LOG(L102)),2)*10^INT(LOG(L102)))/10^INT(LOG(IF(F102=0,0,ROUND(F102/10^INT(LOG(F102)),2)*10^INT(LOG(F102)))*IF(L102=0,0,ROUND(L102/10^INT(LOG(L102)),2)*10^INT(LOG(L102))))),2)*10^INT(LOG(IF(F102=0,0,ROUND(F102/10^INT(LOG(F102)),2)*10^INT(LOG(F102)))*IF(L102=0,0,ROUND(L102/10^INT(LOG(L102)),2)*10^INT(LOG(L102))))))</f>
        <v>0</v>
      </c>
      <c r="P102" s="27"/>
      <c r="Q102" s="89" t="e">
        <f>O102/$O$104</f>
        <v>#DIV/0!</v>
      </c>
      <c r="R102" s="89" t="e">
        <f>O102/$Q$107</f>
        <v>#DIV/0!</v>
      </c>
      <c r="S102" s="70"/>
      <c r="T102" s="70"/>
    </row>
    <row r="103" spans="1:20" s="11" customFormat="1" ht="38.25" customHeight="1" thickBot="1">
      <c r="A103" s="503" t="s">
        <v>823</v>
      </c>
      <c r="B103" s="68"/>
      <c r="C103" s="64"/>
      <c r="D103" s="90"/>
      <c r="E103" s="59"/>
      <c r="F103" s="307"/>
      <c r="G103" s="308"/>
      <c r="H103" s="309"/>
      <c r="I103" s="25"/>
      <c r="J103" s="90"/>
      <c r="K103" s="59"/>
      <c r="L103" s="46"/>
      <c r="M103" s="29"/>
      <c r="N103" s="309"/>
      <c r="O103" s="71">
        <f>IF(IF(F103=0,0,ROUND(F103/10^INT(LOG(F103)),2)*10^INT(LOG(F103)))*IF(L103=0,0,ROUND(L103/10^INT(LOG(L103)),2)*10^INT(LOG(L103)))=0,0,ROUND(IF(F103=0,0,ROUND(F103/10^INT(LOG(F103)),2)*10^INT(LOG(F103)))*IF(L103=0,0,ROUND(L103/10^INT(LOG(L103)),2)*10^INT(LOG(L103)))/10^INT(LOG(IF(F103=0,0,ROUND(F103/10^INT(LOG(F103)),2)*10^INT(LOG(F103)))*IF(L103=0,0,ROUND(L103/10^INT(LOG(L103)),2)*10^INT(LOG(L103))))),2)*10^INT(LOG(IF(F103=0,0,ROUND(F103/10^INT(LOG(F103)),2)*10^INT(LOG(F103)))*IF(L103=0,0,ROUND(L103/10^INT(LOG(L103)),2)*10^INT(LOG(L103))))))</f>
        <v>0</v>
      </c>
      <c r="P103" s="30"/>
      <c r="Q103" s="89" t="e">
        <f>O103/$O$104</f>
        <v>#DIV/0!</v>
      </c>
      <c r="R103" s="89" t="e">
        <f>O103/$Q$107</f>
        <v>#DIV/0!</v>
      </c>
      <c r="S103" s="70"/>
      <c r="T103" s="70"/>
    </row>
    <row r="104" spans="1:20" s="11" customFormat="1" ht="21" customHeight="1" thickTop="1" thickBot="1">
      <c r="A104" s="503" t="s">
        <v>824</v>
      </c>
      <c r="B104" s="940" t="s">
        <v>39</v>
      </c>
      <c r="C104" s="941"/>
      <c r="D104" s="85"/>
      <c r="E104" s="86"/>
      <c r="F104" s="87"/>
      <c r="G104" s="87"/>
      <c r="H104" s="87"/>
      <c r="I104" s="87"/>
      <c r="J104" s="87"/>
      <c r="K104" s="86"/>
      <c r="L104" s="87"/>
      <c r="M104" s="87"/>
      <c r="N104" s="87"/>
      <c r="O104" s="72">
        <f>IF(SUM(O88:O103)=0,0,ROUND(SUM(O88:O103)/10^INT(LOG(SUM(O88:O103))),2)*10^INT(LOG(SUM(O88:O103))))</f>
        <v>0</v>
      </c>
      <c r="P104" s="40"/>
      <c r="Q104" s="40"/>
      <c r="R104" s="84"/>
      <c r="T104" s="70"/>
    </row>
    <row r="105" spans="1:20" s="11" customFormat="1" ht="21" customHeight="1" thickBot="1">
      <c r="A105" s="503" t="s">
        <v>824</v>
      </c>
      <c r="B105" s="925"/>
      <c r="C105" s="925"/>
      <c r="D105" s="31"/>
      <c r="E105" s="60"/>
      <c r="F105" s="32"/>
      <c r="G105" s="32"/>
      <c r="H105" s="22"/>
      <c r="I105" s="22"/>
      <c r="J105" s="22"/>
      <c r="K105" s="60"/>
      <c r="L105" s="32"/>
      <c r="M105" s="32"/>
      <c r="N105" s="22"/>
      <c r="O105" s="32"/>
      <c r="P105" s="22"/>
      <c r="Q105" s="78"/>
      <c r="R105" s="78"/>
    </row>
    <row r="106" spans="1:20" ht="20.25" customHeight="1">
      <c r="A106" s="503" t="s">
        <v>824</v>
      </c>
      <c r="Q106" s="926" t="s">
        <v>80</v>
      </c>
      <c r="R106" s="927"/>
    </row>
    <row r="107" spans="1:20" ht="21" customHeight="1" thickBot="1">
      <c r="A107" s="503" t="s">
        <v>824</v>
      </c>
      <c r="Q107" s="942" t="e">
        <f>O37+O61+O76+O84+O104</f>
        <v>#DIV/0!</v>
      </c>
      <c r="R107" s="943"/>
    </row>
  </sheetData>
  <sheetProtection password="ED51" sheet="1" objects="1" scenarios="1"/>
  <autoFilter ref="A1:W108" xr:uid="{00000000-0009-0000-0000-000007000000}"/>
  <mergeCells count="57">
    <mergeCell ref="B62:D62"/>
    <mergeCell ref="C39:C40"/>
    <mergeCell ref="B39:B40"/>
    <mergeCell ref="B61:C61"/>
    <mergeCell ref="D39:H39"/>
    <mergeCell ref="P63:P64"/>
    <mergeCell ref="B63:B64"/>
    <mergeCell ref="C63:C64"/>
    <mergeCell ref="B77:D77"/>
    <mergeCell ref="I63:N63"/>
    <mergeCell ref="B76:C76"/>
    <mergeCell ref="D63:H63"/>
    <mergeCell ref="L7:O7"/>
    <mergeCell ref="B3:O3"/>
    <mergeCell ref="B9:D9"/>
    <mergeCell ref="K5:O5"/>
    <mergeCell ref="L6:O6"/>
    <mergeCell ref="C5:G5"/>
    <mergeCell ref="D8:G8"/>
    <mergeCell ref="D6:G6"/>
    <mergeCell ref="D7:G7"/>
    <mergeCell ref="L8:O8"/>
    <mergeCell ref="B10:B11"/>
    <mergeCell ref="P39:P40"/>
    <mergeCell ref="P10:P11"/>
    <mergeCell ref="B38:D38"/>
    <mergeCell ref="D10:H10"/>
    <mergeCell ref="C10:C11"/>
    <mergeCell ref="I10:N10"/>
    <mergeCell ref="I39:N39"/>
    <mergeCell ref="B37:C37"/>
    <mergeCell ref="Q10:Q11"/>
    <mergeCell ref="R10:R11"/>
    <mergeCell ref="Q39:Q40"/>
    <mergeCell ref="R39:R40"/>
    <mergeCell ref="Q63:Q64"/>
    <mergeCell ref="R63:R64"/>
    <mergeCell ref="Q107:R107"/>
    <mergeCell ref="Q78:Q79"/>
    <mergeCell ref="R78:R79"/>
    <mergeCell ref="Q86:Q87"/>
    <mergeCell ref="R86:R87"/>
    <mergeCell ref="B105:C105"/>
    <mergeCell ref="Q106:R106"/>
    <mergeCell ref="D78:H78"/>
    <mergeCell ref="I78:N78"/>
    <mergeCell ref="P78:P79"/>
    <mergeCell ref="P86:P87"/>
    <mergeCell ref="B85:D85"/>
    <mergeCell ref="B86:B87"/>
    <mergeCell ref="C86:C87"/>
    <mergeCell ref="D86:H86"/>
    <mergeCell ref="I86:N86"/>
    <mergeCell ref="B104:C104"/>
    <mergeCell ref="B84:C84"/>
    <mergeCell ref="B78:B79"/>
    <mergeCell ref="C78:C79"/>
  </mergeCells>
  <phoneticPr fontId="10"/>
  <dataValidations count="2">
    <dataValidation type="list" allowBlank="1" showInputMessage="1" showErrorMessage="1" sqref="I12:I17 I65:I75 I80:I83 I23:I36 I41:I60 I88:I103" xr:uid="{00000000-0002-0000-0700-000000000000}">
      <formula1>$K$6:$K$8</formula1>
    </dataValidation>
    <dataValidation type="list" allowBlank="1" showInputMessage="1" showErrorMessage="1" sqref="D88:D103 D65:D75 D12:D36 D41:D60 D80:D83" xr:uid="{00000000-0002-0000-0700-000001000000}">
      <formula1>$C$6:$C$7</formula1>
    </dataValidation>
  </dataValidations>
  <printOptions horizontalCentered="1"/>
  <pageMargins left="0.23622047244094491" right="0.23622047244094491" top="0.39370078740157483" bottom="0.39370078740157483" header="0.31496062992125984" footer="0.31496062992125984"/>
  <pageSetup paperSize="9" scale="4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42"/>
  <sheetViews>
    <sheetView view="pageBreakPreview" zoomScale="85" zoomScaleNormal="100" zoomScaleSheetLayoutView="85" workbookViewId="0">
      <selection activeCell="M13" sqref="M13"/>
    </sheetView>
  </sheetViews>
  <sheetFormatPr defaultRowHeight="12.75"/>
  <cols>
    <col min="1" max="1" width="5.375" style="9" customWidth="1"/>
    <col min="2" max="2" width="8.25" style="10" customWidth="1"/>
    <col min="3" max="3" width="16" style="10" customWidth="1"/>
    <col min="4" max="4" width="16.375" style="10" customWidth="1"/>
    <col min="5" max="5" width="10" style="253" bestFit="1" customWidth="1"/>
    <col min="6" max="6" width="8.25" style="10" customWidth="1"/>
    <col min="7" max="7" width="34.125" style="10" customWidth="1"/>
    <col min="8" max="8" width="10.375" style="406" bestFit="1" customWidth="1"/>
    <col min="9" max="9" width="6.375" style="10" customWidth="1"/>
    <col min="10" max="10" width="36.5" style="10" customWidth="1"/>
    <col min="11" max="11" width="21.125" style="10" bestFit="1" customWidth="1"/>
    <col min="12" max="12" width="11.75" style="8" bestFit="1" customWidth="1"/>
    <col min="13" max="13" width="9.125" style="8" bestFit="1" customWidth="1"/>
    <col min="14" max="16384" width="9" style="8"/>
  </cols>
  <sheetData>
    <row r="1" spans="1:18" ht="17.25">
      <c r="A1" s="75" t="s">
        <v>56</v>
      </c>
      <c r="B1" s="75"/>
      <c r="C1" s="75"/>
      <c r="D1" s="75"/>
      <c r="E1" s="252"/>
      <c r="F1" s="75"/>
      <c r="G1" s="42"/>
      <c r="H1" s="405"/>
      <c r="I1" s="255"/>
      <c r="J1" s="41" t="s">
        <v>40</v>
      </c>
      <c r="K1" s="47"/>
      <c r="L1" s="42"/>
      <c r="M1" s="42"/>
      <c r="N1" s="42"/>
      <c r="O1" s="42"/>
      <c r="P1" s="42"/>
      <c r="Q1" s="42"/>
      <c r="R1" s="42"/>
    </row>
    <row r="2" spans="1:18" ht="13.5" thickBot="1"/>
    <row r="3" spans="1:18" s="33" customFormat="1" ht="12" customHeight="1">
      <c r="A3" s="1000" t="s">
        <v>31</v>
      </c>
      <c r="B3" s="1002" t="s">
        <v>30</v>
      </c>
      <c r="C3" s="1009" t="s">
        <v>522</v>
      </c>
      <c r="D3" s="1010"/>
      <c r="E3" s="1010"/>
      <c r="F3" s="1010"/>
      <c r="G3" s="1010"/>
      <c r="H3" s="1009" t="s">
        <v>527</v>
      </c>
      <c r="I3" s="1011"/>
      <c r="J3" s="1004" t="s">
        <v>1197</v>
      </c>
      <c r="K3" s="594"/>
    </row>
    <row r="4" spans="1:18" s="33" customFormat="1" ht="29.25" customHeight="1" thickBot="1">
      <c r="A4" s="1001"/>
      <c r="B4" s="1003"/>
      <c r="C4" s="460" t="s">
        <v>16</v>
      </c>
      <c r="D4" s="461"/>
      <c r="E4" s="462" t="s">
        <v>523</v>
      </c>
      <c r="F4" s="460" t="s">
        <v>15</v>
      </c>
      <c r="G4" s="463" t="s">
        <v>573</v>
      </c>
      <c r="H4" s="462" t="s">
        <v>8</v>
      </c>
      <c r="I4" s="464" t="s">
        <v>15</v>
      </c>
      <c r="J4" s="1005"/>
      <c r="K4" s="595"/>
    </row>
    <row r="5" spans="1:18" s="35" customFormat="1" ht="25.5" customHeight="1">
      <c r="A5" s="419" t="s">
        <v>598</v>
      </c>
      <c r="B5" s="418" t="s">
        <v>17</v>
      </c>
      <c r="C5" s="250" t="str">
        <f>'(4)データ入力と算出結果'!E12</f>
        <v>DTP材料</v>
      </c>
      <c r="D5" s="250" t="s">
        <v>521</v>
      </c>
      <c r="E5" s="513">
        <f>個別製品情報入力シート!D20</f>
        <v>0</v>
      </c>
      <c r="F5" s="250" t="s">
        <v>192</v>
      </c>
      <c r="G5" s="251" t="s">
        <v>524</v>
      </c>
      <c r="H5" s="518">
        <f>E5</f>
        <v>0</v>
      </c>
      <c r="I5" s="488" t="s">
        <v>1059</v>
      </c>
      <c r="J5" s="436" t="str">
        <f>個別製品情報入力シート!J28&amp;"　"&amp;個別製品情報入力シート!K28</f>
        <v>受注カード　</v>
      </c>
      <c r="K5" s="596"/>
    </row>
    <row r="6" spans="1:18" s="35" customFormat="1" ht="25.5" customHeight="1">
      <c r="A6" s="36" t="s">
        <v>599</v>
      </c>
      <c r="B6" s="975" t="s">
        <v>520</v>
      </c>
      <c r="C6" s="978" t="str">
        <f>'(4)データ入力と算出結果'!C13</f>
        <v>PS版製造</v>
      </c>
      <c r="D6" s="250" t="s">
        <v>390</v>
      </c>
      <c r="E6" s="514">
        <f>IF(個別製品情報入力シート!E40="POD",0,個別製品情報入力シート!E47*個別製品情報入力シート!E48/1000*個別製品情報入力シート!E49/1000)</f>
        <v>0</v>
      </c>
      <c r="F6" s="250" t="s">
        <v>391</v>
      </c>
      <c r="G6" s="1012" t="s">
        <v>1000</v>
      </c>
      <c r="H6" s="519">
        <f t="shared" ref="H6:H23" si="0">E6</f>
        <v>0</v>
      </c>
      <c r="I6" s="266" t="s">
        <v>391</v>
      </c>
      <c r="J6" s="1019" t="str">
        <f>個別製品情報入力シート!J50&amp;"　"&amp;個別製品情報入力シート!K50</f>
        <v>作業指示書　</v>
      </c>
      <c r="K6" s="596"/>
    </row>
    <row r="7" spans="1:18" s="35" customFormat="1" ht="25.5" customHeight="1">
      <c r="A7" s="36" t="s">
        <v>600</v>
      </c>
      <c r="B7" s="976"/>
      <c r="C7" s="983"/>
      <c r="D7" s="250" t="s">
        <v>390</v>
      </c>
      <c r="E7" s="514">
        <f>IF(個別製品情報入力シート!F40="POD",0,個別製品情報入力シート!F47*個別製品情報入力シート!F48/1000*個別製品情報入力シート!F49/1000)</f>
        <v>0</v>
      </c>
      <c r="F7" s="250" t="s">
        <v>391</v>
      </c>
      <c r="G7" s="1013"/>
      <c r="H7" s="519">
        <f t="shared" si="0"/>
        <v>0</v>
      </c>
      <c r="I7" s="266" t="s">
        <v>391</v>
      </c>
      <c r="J7" s="1020"/>
      <c r="K7" s="596"/>
    </row>
    <row r="8" spans="1:18" s="35" customFormat="1" ht="25.5" customHeight="1">
      <c r="A8" s="36" t="s">
        <v>601</v>
      </c>
      <c r="B8" s="976"/>
      <c r="C8" s="983"/>
      <c r="D8" s="250" t="s">
        <v>390</v>
      </c>
      <c r="E8" s="514">
        <f>IF(個別製品情報入力シート!G40="POD",0,個別製品情報入力シート!G47*個別製品情報入力シート!G48/1000*個別製品情報入力シート!G49/1000)</f>
        <v>0</v>
      </c>
      <c r="F8" s="250" t="s">
        <v>391</v>
      </c>
      <c r="G8" s="1013"/>
      <c r="H8" s="519">
        <f t="shared" si="0"/>
        <v>0</v>
      </c>
      <c r="I8" s="266" t="s">
        <v>391</v>
      </c>
      <c r="J8" s="1020"/>
      <c r="K8" s="596"/>
    </row>
    <row r="9" spans="1:18" s="35" customFormat="1" ht="25.5" customHeight="1">
      <c r="A9" s="36" t="s">
        <v>602</v>
      </c>
      <c r="B9" s="976"/>
      <c r="C9" s="983"/>
      <c r="D9" s="250" t="s">
        <v>390</v>
      </c>
      <c r="E9" s="514">
        <f>IF(個別製品情報入力シート!H40="POD",0,個別製品情報入力シート!H47*個別製品情報入力シート!H48/1000*個別製品情報入力シート!H49/1000)</f>
        <v>0</v>
      </c>
      <c r="F9" s="250" t="s">
        <v>999</v>
      </c>
      <c r="G9" s="1013"/>
      <c r="H9" s="519">
        <f t="shared" si="0"/>
        <v>0</v>
      </c>
      <c r="I9" s="266" t="s">
        <v>391</v>
      </c>
      <c r="J9" s="1020"/>
      <c r="K9" s="596"/>
    </row>
    <row r="10" spans="1:18" s="35" customFormat="1" ht="25.5" customHeight="1">
      <c r="A10" s="36" t="s">
        <v>603</v>
      </c>
      <c r="B10" s="977"/>
      <c r="C10" s="979"/>
      <c r="D10" s="250" t="s">
        <v>390</v>
      </c>
      <c r="E10" s="515">
        <f>IF(個別製品情報入力シート!I40="POD",0,個別製品情報入力シート!I47*個別製品情報入力シート!I48/1000*個別製品情報入力シート!I49/1000)</f>
        <v>0</v>
      </c>
      <c r="F10" s="250" t="s">
        <v>999</v>
      </c>
      <c r="G10" s="1014"/>
      <c r="H10" s="519">
        <f t="shared" si="0"/>
        <v>0</v>
      </c>
      <c r="I10" s="266" t="s">
        <v>391</v>
      </c>
      <c r="J10" s="1021"/>
      <c r="K10" s="596"/>
    </row>
    <row r="11" spans="1:18" s="35" customFormat="1" ht="25.5" customHeight="1">
      <c r="A11" s="36" t="s">
        <v>604</v>
      </c>
      <c r="B11" s="975" t="s">
        <v>17</v>
      </c>
      <c r="C11" s="978" t="s">
        <v>206</v>
      </c>
      <c r="D11" s="417" t="s">
        <v>207</v>
      </c>
      <c r="E11" s="516">
        <f>(個別製品情報入力シート!E32/1000)*(個別製品情報入力シート!E35+個別製品情報入力シート!E36+個別製品情報入力シート!E37)</f>
        <v>0</v>
      </c>
      <c r="F11" s="417" t="s">
        <v>386</v>
      </c>
      <c r="G11" s="987" t="s">
        <v>537</v>
      </c>
      <c r="H11" s="520">
        <f t="shared" si="0"/>
        <v>0</v>
      </c>
      <c r="I11" s="420" t="s">
        <v>386</v>
      </c>
      <c r="J11" s="996" t="str">
        <f>個別製品情報入力シート!J25&amp;"　"&amp;個別製品情報入力シート!K25</f>
        <v>生産カード　</v>
      </c>
      <c r="K11" s="597"/>
    </row>
    <row r="12" spans="1:18" s="35" customFormat="1" ht="25.5" customHeight="1">
      <c r="A12" s="36" t="s">
        <v>605</v>
      </c>
      <c r="B12" s="976"/>
      <c r="C12" s="983"/>
      <c r="D12" s="417" t="s">
        <v>208</v>
      </c>
      <c r="E12" s="513">
        <f>(個別製品情報入力シート!F32/1000)*(個別製品情報入力シート!F35+個別製品情報入力シート!F36+個別製品情報入力シート!F37)</f>
        <v>0</v>
      </c>
      <c r="F12" s="417" t="s">
        <v>386</v>
      </c>
      <c r="G12" s="988"/>
      <c r="H12" s="520">
        <f t="shared" si="0"/>
        <v>0</v>
      </c>
      <c r="I12" s="420" t="s">
        <v>386</v>
      </c>
      <c r="J12" s="1022"/>
      <c r="K12" s="597"/>
    </row>
    <row r="13" spans="1:18" s="35" customFormat="1" ht="25.5" customHeight="1">
      <c r="A13" s="36" t="s">
        <v>606</v>
      </c>
      <c r="B13" s="976"/>
      <c r="C13" s="983"/>
      <c r="D13" s="417" t="s">
        <v>209</v>
      </c>
      <c r="E13" s="513">
        <f>(個別製品情報入力シート!G32/1000)*(個別製品情報入力シート!G35+個別製品情報入力シート!G36+個別製品情報入力シート!G37)</f>
        <v>0</v>
      </c>
      <c r="F13" s="417" t="s">
        <v>386</v>
      </c>
      <c r="G13" s="988"/>
      <c r="H13" s="520">
        <f t="shared" si="0"/>
        <v>0</v>
      </c>
      <c r="I13" s="420" t="s">
        <v>386</v>
      </c>
      <c r="J13" s="1022"/>
      <c r="K13" s="597"/>
    </row>
    <row r="14" spans="1:18" s="35" customFormat="1" ht="25.5" customHeight="1">
      <c r="A14" s="36" t="s">
        <v>607</v>
      </c>
      <c r="B14" s="976"/>
      <c r="C14" s="983"/>
      <c r="D14" s="417" t="s">
        <v>210</v>
      </c>
      <c r="E14" s="513">
        <f>(個別製品情報入力シート!H32/1000)*(個別製品情報入力シート!H35+個別製品情報入力シート!H36+個別製品情報入力シート!H37)</f>
        <v>0</v>
      </c>
      <c r="F14" s="417" t="s">
        <v>386</v>
      </c>
      <c r="G14" s="988"/>
      <c r="H14" s="520">
        <f t="shared" si="0"/>
        <v>0</v>
      </c>
      <c r="I14" s="420" t="s">
        <v>386</v>
      </c>
      <c r="J14" s="1022"/>
      <c r="K14" s="597"/>
    </row>
    <row r="15" spans="1:18" s="35" customFormat="1" ht="25.5" customHeight="1">
      <c r="A15" s="36" t="s">
        <v>608</v>
      </c>
      <c r="B15" s="977"/>
      <c r="C15" s="979"/>
      <c r="D15" s="417" t="s">
        <v>211</v>
      </c>
      <c r="E15" s="513">
        <f>(個別製品情報入力シート!I32/1000)*(個別製品情報入力シート!I35+個別製品情報入力シート!I36+個別製品情報入力シート!I37)</f>
        <v>0</v>
      </c>
      <c r="F15" s="417" t="s">
        <v>386</v>
      </c>
      <c r="G15" s="989"/>
      <c r="H15" s="520">
        <f t="shared" si="0"/>
        <v>0</v>
      </c>
      <c r="I15" s="420" t="s">
        <v>386</v>
      </c>
      <c r="J15" s="1018"/>
      <c r="K15" s="597"/>
    </row>
    <row r="16" spans="1:18" s="35" customFormat="1" ht="25.5" customHeight="1">
      <c r="A16" s="36" t="s">
        <v>609</v>
      </c>
      <c r="B16" s="975" t="s">
        <v>17</v>
      </c>
      <c r="C16" s="978" t="s">
        <v>394</v>
      </c>
      <c r="D16" s="250" t="s">
        <v>395</v>
      </c>
      <c r="E16" s="548">
        <f>(個別製品情報入力シート!E35+個別製品情報入力シート!E36+個別製品情報入力シート!E37)*(個別製品情報入力シート!E30+個別製品情報入力シート!E31)/2</f>
        <v>0</v>
      </c>
      <c r="F16" s="549" t="str">
        <f>IF(個別製品情報入力シート!E40="輪転印刷機","㎡・色","枚・色")</f>
        <v>枚・色</v>
      </c>
      <c r="G16" s="1006" t="s">
        <v>1127</v>
      </c>
      <c r="H16" s="521">
        <f t="shared" si="0"/>
        <v>0</v>
      </c>
      <c r="I16" s="490" t="str">
        <f>IF(個別製品情報入力シート!E40="輪転印刷機","㎡・色","枚・色")</f>
        <v>枚・色</v>
      </c>
      <c r="J16" s="996" t="str">
        <f>個別製品情報入力シート!J35&amp;"　"&amp;個別製品情報入力シート!K35&amp;"　・　"&amp;個別製品情報入力シート!J30&amp;"　"&amp;個別製品情報入力シート!K30</f>
        <v>生産カード　　・　生産カード　</v>
      </c>
      <c r="K16" s="597"/>
    </row>
    <row r="17" spans="1:11" s="35" customFormat="1" ht="25.5" customHeight="1">
      <c r="A17" s="36" t="s">
        <v>610</v>
      </c>
      <c r="B17" s="976"/>
      <c r="C17" s="983"/>
      <c r="D17" s="250" t="s">
        <v>396</v>
      </c>
      <c r="E17" s="548">
        <f>(個別製品情報入力シート!F35+個別製品情報入力シート!F36+個別製品情報入力シート!F37)*(個別製品情報入力シート!F30+個別製品情報入力シート!F31)/2</f>
        <v>0</v>
      </c>
      <c r="F17" s="549" t="str">
        <f>IF(個別製品情報入力シート!E40="輪転印刷機","㎡・色","枚・色")</f>
        <v>枚・色</v>
      </c>
      <c r="G17" s="1007"/>
      <c r="H17" s="521">
        <f t="shared" si="0"/>
        <v>0</v>
      </c>
      <c r="I17" s="490" t="str">
        <f>IF(個別製品情報入力シート!E40="輪転印刷機","㎡・色","枚・色")</f>
        <v>枚・色</v>
      </c>
      <c r="J17" s="997"/>
      <c r="K17" s="598"/>
    </row>
    <row r="18" spans="1:11" s="35" customFormat="1" ht="25.5" customHeight="1">
      <c r="A18" s="36" t="s">
        <v>611</v>
      </c>
      <c r="B18" s="976"/>
      <c r="C18" s="983"/>
      <c r="D18" s="250" t="s">
        <v>397</v>
      </c>
      <c r="E18" s="548">
        <f>(個別製品情報入力シート!G35+個別製品情報入力シート!G36+個別製品情報入力シート!G37)*(個別製品情報入力シート!G30+個別製品情報入力シート!G31)/2</f>
        <v>0</v>
      </c>
      <c r="F18" s="549" t="str">
        <f>IF(個別製品情報入力シート!E40="輪転印刷機","㎡・色","枚・色")</f>
        <v>枚・色</v>
      </c>
      <c r="G18" s="1007"/>
      <c r="H18" s="521">
        <f t="shared" si="0"/>
        <v>0</v>
      </c>
      <c r="I18" s="490" t="str">
        <f>IF(個別製品情報入力シート!E40="輪転印刷機","㎡・色","枚・色")</f>
        <v>枚・色</v>
      </c>
      <c r="J18" s="997"/>
      <c r="K18" s="598"/>
    </row>
    <row r="19" spans="1:11" s="35" customFormat="1" ht="25.5" customHeight="1">
      <c r="A19" s="36" t="s">
        <v>612</v>
      </c>
      <c r="B19" s="976"/>
      <c r="C19" s="983"/>
      <c r="D19" s="250" t="s">
        <v>398</v>
      </c>
      <c r="E19" s="548">
        <f>(個別製品情報入力シート!H35+個別製品情報入力シート!H36+個別製品情報入力シート!H37)*(個別製品情報入力シート!H30+個別製品情報入力シート!H31)/2</f>
        <v>0</v>
      </c>
      <c r="F19" s="549" t="str">
        <f>IF(個別製品情報入力シート!E40="輪転印刷機","㎡・色","枚・色")</f>
        <v>枚・色</v>
      </c>
      <c r="G19" s="1007"/>
      <c r="H19" s="520">
        <f t="shared" si="0"/>
        <v>0</v>
      </c>
      <c r="I19" s="491" t="str">
        <f>IF(個別製品情報入力シート!E40="輪転印刷機","㎡・色","枚・色")</f>
        <v>枚・色</v>
      </c>
      <c r="J19" s="997"/>
      <c r="K19" s="598"/>
    </row>
    <row r="20" spans="1:11" s="35" customFormat="1" ht="25.5" customHeight="1">
      <c r="A20" s="36" t="s">
        <v>613</v>
      </c>
      <c r="B20" s="977"/>
      <c r="C20" s="979"/>
      <c r="D20" s="250" t="s">
        <v>399</v>
      </c>
      <c r="E20" s="548">
        <f>(個別製品情報入力シート!I35+個別製品情報入力シート!I36+個別製品情報入力シート!I37)*(個別製品情報入力シート!I30+個別製品情報入力シート!I31)/2</f>
        <v>0</v>
      </c>
      <c r="F20" s="549" t="str">
        <f>IF(個別製品情報入力シート!E40="輪転印刷機","㎡・色","枚・色")</f>
        <v>枚・色</v>
      </c>
      <c r="G20" s="1008"/>
      <c r="H20" s="520">
        <f t="shared" si="0"/>
        <v>0</v>
      </c>
      <c r="I20" s="491" t="str">
        <f>IF(個別製品情報入力シート!E40="輪転印刷機","㎡・色","枚・色")</f>
        <v>枚・色</v>
      </c>
      <c r="J20" s="998"/>
      <c r="K20" s="598"/>
    </row>
    <row r="21" spans="1:11" s="35" customFormat="1" ht="43.5" customHeight="1">
      <c r="A21" s="36" t="s">
        <v>614</v>
      </c>
      <c r="B21" s="687" t="s">
        <v>17</v>
      </c>
      <c r="C21" s="687" t="s">
        <v>276</v>
      </c>
      <c r="D21" s="687" t="s">
        <v>276</v>
      </c>
      <c r="E21" s="693" t="e">
        <f>IF(個別製品情報入力シート!D22="無線綴じ",(個別製品情報入力シート!D18+個別製品情報入力シート!D19)*個別製品情報入力シート!D17*個別製品情報入力シート!D20,0)</f>
        <v>#DIV/0!</v>
      </c>
      <c r="F21" s="687" t="s">
        <v>403</v>
      </c>
      <c r="G21" s="690" t="s">
        <v>1100</v>
      </c>
      <c r="H21" s="691" t="e">
        <f>E21</f>
        <v>#DIV/0!</v>
      </c>
      <c r="I21" s="694" t="s">
        <v>403</v>
      </c>
      <c r="J21" s="692" t="str">
        <f>個別製品情報入力シート!J17&amp;"　"&amp;個別製品情報入力シート!K17&amp;"　　・"&amp;個別製品情報入力シート!J28&amp;"　"&amp;個別製品情報入力シート!K28&amp;"　　・"&amp;個別製品情報入力シート!J17&amp;"　"&amp;個別製品情報入力シート!K17</f>
        <v>受注カード　　　・受注カード　　　・受注カード　</v>
      </c>
      <c r="K21" s="599"/>
    </row>
    <row r="22" spans="1:11" s="35" customFormat="1" ht="25.5" customHeight="1">
      <c r="A22" s="36" t="s">
        <v>615</v>
      </c>
      <c r="B22" s="250" t="s">
        <v>17</v>
      </c>
      <c r="C22" s="250" t="s">
        <v>277</v>
      </c>
      <c r="D22" s="250" t="s">
        <v>277</v>
      </c>
      <c r="E22" s="548">
        <f>IF(個別製品情報入力シート!D22="中綴じ",個別製品情報入力シート!D18+個別製品情報入力シート!D19,0)</f>
        <v>0</v>
      </c>
      <c r="F22" s="550" t="s">
        <v>408</v>
      </c>
      <c r="G22" s="551" t="s">
        <v>525</v>
      </c>
      <c r="H22" s="520">
        <f t="shared" si="0"/>
        <v>0</v>
      </c>
      <c r="I22" s="256" t="s">
        <v>408</v>
      </c>
      <c r="J22" s="437" t="str">
        <f>個別製品情報入力シート!J18&amp;"　"&amp;個別製品情報入力シート!K18</f>
        <v>受注カード　</v>
      </c>
      <c r="K22" s="600"/>
    </row>
    <row r="23" spans="1:11" s="35" customFormat="1" ht="25.5" customHeight="1">
      <c r="A23" s="36" t="s">
        <v>616</v>
      </c>
      <c r="B23" s="250" t="s">
        <v>17</v>
      </c>
      <c r="C23" s="250" t="s">
        <v>287</v>
      </c>
      <c r="D23" s="250" t="s">
        <v>287</v>
      </c>
      <c r="E23" s="548">
        <f>個別製品情報入力シート!D35</f>
        <v>0</v>
      </c>
      <c r="F23" s="550" t="s">
        <v>376</v>
      </c>
      <c r="G23" s="551" t="s">
        <v>526</v>
      </c>
      <c r="H23" s="520">
        <f t="shared" si="0"/>
        <v>0</v>
      </c>
      <c r="I23" s="420" t="s">
        <v>376</v>
      </c>
      <c r="J23" s="437" t="str">
        <f>個別製品情報入力シート!J35&amp;"　"&amp;個別製品情報入力シート!K35</f>
        <v>生産カード　</v>
      </c>
      <c r="K23" s="600"/>
    </row>
    <row r="24" spans="1:11" s="35" customFormat="1" ht="24.75" customHeight="1">
      <c r="A24" s="993" t="s">
        <v>617</v>
      </c>
      <c r="B24" s="975" t="s">
        <v>17</v>
      </c>
      <c r="C24" s="978" t="s">
        <v>690</v>
      </c>
      <c r="D24" s="250" t="s">
        <v>528</v>
      </c>
      <c r="E24" s="548">
        <f>個別製品情報入力シート!E38</f>
        <v>0</v>
      </c>
      <c r="F24" s="550" t="s">
        <v>696</v>
      </c>
      <c r="G24" s="551" t="s">
        <v>1101</v>
      </c>
      <c r="H24" s="980">
        <f>E24*E25/1000</f>
        <v>0</v>
      </c>
      <c r="I24" s="978" t="s">
        <v>530</v>
      </c>
      <c r="J24" s="999" t="str">
        <f>個別製品情報入力シート!J35&amp;"　"&amp;個別製品情報入力シート!K35&amp;"　・"&amp;"PCRシナリオ"</f>
        <v>生産カード　　・PCRシナリオ</v>
      </c>
      <c r="K24" s="598"/>
    </row>
    <row r="25" spans="1:11" s="35" customFormat="1" ht="25.5" customHeight="1">
      <c r="A25" s="994"/>
      <c r="B25" s="977"/>
      <c r="C25" s="979"/>
      <c r="D25" s="250" t="s">
        <v>529</v>
      </c>
      <c r="E25" s="513">
        <f>IF(個別製品情報入力シート!D52="実測",個別製品情報入力シート!E52,500)</f>
        <v>0</v>
      </c>
      <c r="F25" s="250" t="s">
        <v>414</v>
      </c>
      <c r="G25" s="539" t="str">
        <f>IF(個別製品情報入力シート!D52="実測","実測","距離はPCRシナリオによる：500㎞")</f>
        <v>実測</v>
      </c>
      <c r="H25" s="981"/>
      <c r="I25" s="979"/>
      <c r="J25" s="997"/>
      <c r="K25" s="598"/>
    </row>
    <row r="26" spans="1:11" s="35" customFormat="1" ht="25.5" customHeight="1">
      <c r="A26" s="993" t="s">
        <v>702</v>
      </c>
      <c r="B26" s="975" t="s">
        <v>17</v>
      </c>
      <c r="C26" s="978" t="s">
        <v>691</v>
      </c>
      <c r="D26" s="250" t="s">
        <v>528</v>
      </c>
      <c r="E26" s="513">
        <f>個別製品情報入力シート!F38</f>
        <v>0</v>
      </c>
      <c r="F26" s="250" t="s">
        <v>695</v>
      </c>
      <c r="G26" s="251" t="s">
        <v>697</v>
      </c>
      <c r="H26" s="980">
        <f>E26*E27/1000</f>
        <v>0</v>
      </c>
      <c r="I26" s="978" t="s">
        <v>530</v>
      </c>
      <c r="J26" s="997"/>
      <c r="K26" s="598"/>
    </row>
    <row r="27" spans="1:11" s="35" customFormat="1" ht="25.5" customHeight="1">
      <c r="A27" s="994"/>
      <c r="B27" s="977"/>
      <c r="C27" s="979"/>
      <c r="D27" s="250" t="s">
        <v>529</v>
      </c>
      <c r="E27" s="513">
        <f>IF(個別製品情報入力シート!D52="実測",個別製品情報入力シート!F52,500)</f>
        <v>0</v>
      </c>
      <c r="F27" s="250" t="s">
        <v>414</v>
      </c>
      <c r="G27" s="539" t="str">
        <f>IF(個別製品情報入力シート!D52="実測","実測","距離はPCRシナリオによる：500㎞")</f>
        <v>実測</v>
      </c>
      <c r="H27" s="981"/>
      <c r="I27" s="979"/>
      <c r="J27" s="997"/>
      <c r="K27" s="598"/>
    </row>
    <row r="28" spans="1:11" s="35" customFormat="1" ht="25.5" customHeight="1">
      <c r="A28" s="993" t="s">
        <v>703</v>
      </c>
      <c r="B28" s="975" t="s">
        <v>17</v>
      </c>
      <c r="C28" s="978" t="s">
        <v>692</v>
      </c>
      <c r="D28" s="250" t="s">
        <v>528</v>
      </c>
      <c r="E28" s="513">
        <f>個別製品情報入力シート!G38</f>
        <v>0</v>
      </c>
      <c r="F28" s="250" t="s">
        <v>695</v>
      </c>
      <c r="G28" s="251" t="s">
        <v>697</v>
      </c>
      <c r="H28" s="980">
        <f>E28*E29/1000</f>
        <v>0</v>
      </c>
      <c r="I28" s="978" t="s">
        <v>530</v>
      </c>
      <c r="J28" s="997"/>
      <c r="K28" s="598"/>
    </row>
    <row r="29" spans="1:11" s="35" customFormat="1" ht="25.5" customHeight="1">
      <c r="A29" s="994"/>
      <c r="B29" s="977"/>
      <c r="C29" s="979"/>
      <c r="D29" s="250" t="s">
        <v>529</v>
      </c>
      <c r="E29" s="513">
        <f>IF(個別製品情報入力シート!D52="実測",個別製品情報入力シート!G52,500)</f>
        <v>0</v>
      </c>
      <c r="F29" s="250" t="s">
        <v>414</v>
      </c>
      <c r="G29" s="539" t="str">
        <f>IF(個別製品情報入力シート!D52="実測","実測","距離はPCRシナリオによる：500㎞")</f>
        <v>実測</v>
      </c>
      <c r="H29" s="981"/>
      <c r="I29" s="979"/>
      <c r="J29" s="997"/>
      <c r="K29" s="598"/>
    </row>
    <row r="30" spans="1:11" s="35" customFormat="1" ht="25.5" customHeight="1">
      <c r="A30" s="993" t="s">
        <v>618</v>
      </c>
      <c r="B30" s="975" t="s">
        <v>17</v>
      </c>
      <c r="C30" s="978" t="s">
        <v>693</v>
      </c>
      <c r="D30" s="250" t="s">
        <v>528</v>
      </c>
      <c r="E30" s="513">
        <f>個別製品情報入力シート!H38</f>
        <v>0</v>
      </c>
      <c r="F30" s="250" t="s">
        <v>695</v>
      </c>
      <c r="G30" s="251" t="s">
        <v>697</v>
      </c>
      <c r="H30" s="980">
        <f>E30*E31/1000</f>
        <v>0</v>
      </c>
      <c r="I30" s="978" t="s">
        <v>530</v>
      </c>
      <c r="J30" s="997"/>
      <c r="K30" s="598"/>
    </row>
    <row r="31" spans="1:11" s="35" customFormat="1" ht="25.5" customHeight="1">
      <c r="A31" s="994"/>
      <c r="B31" s="977"/>
      <c r="C31" s="979"/>
      <c r="D31" s="250" t="s">
        <v>529</v>
      </c>
      <c r="E31" s="513">
        <f>IF(個別製品情報入力シート!D52="実測",個別製品情報入力シート!H52,500)</f>
        <v>0</v>
      </c>
      <c r="F31" s="250" t="s">
        <v>414</v>
      </c>
      <c r="G31" s="539" t="str">
        <f>IF(個別製品情報入力シート!D52="実測","実測","距離はPCRシナリオによる：500㎞")</f>
        <v>実測</v>
      </c>
      <c r="H31" s="981"/>
      <c r="I31" s="979"/>
      <c r="J31" s="997"/>
      <c r="K31" s="598"/>
    </row>
    <row r="32" spans="1:11" s="35" customFormat="1" ht="25.5" customHeight="1">
      <c r="A32" s="993" t="s">
        <v>619</v>
      </c>
      <c r="B32" s="975" t="s">
        <v>17</v>
      </c>
      <c r="C32" s="978" t="s">
        <v>694</v>
      </c>
      <c r="D32" s="250" t="s">
        <v>528</v>
      </c>
      <c r="E32" s="513">
        <f>個別製品情報入力シート!I38</f>
        <v>0</v>
      </c>
      <c r="F32" s="250" t="s">
        <v>695</v>
      </c>
      <c r="G32" s="251" t="s">
        <v>697</v>
      </c>
      <c r="H32" s="980">
        <f>E32*E33/1000</f>
        <v>0</v>
      </c>
      <c r="I32" s="978" t="s">
        <v>530</v>
      </c>
      <c r="J32" s="997"/>
      <c r="K32" s="598"/>
    </row>
    <row r="33" spans="1:11" s="35" customFormat="1" ht="25.5" customHeight="1">
      <c r="A33" s="994"/>
      <c r="B33" s="977"/>
      <c r="C33" s="979"/>
      <c r="D33" s="250" t="s">
        <v>529</v>
      </c>
      <c r="E33" s="513">
        <f>IF(個別製品情報入力シート!D52="実測",個別製品情報入力シート!I52,500)</f>
        <v>0</v>
      </c>
      <c r="F33" s="250" t="s">
        <v>414</v>
      </c>
      <c r="G33" s="539" t="str">
        <f>IF(個別製品情報入力シート!D52="実測","実測","距離はPCRシナリオによる：500㎞")</f>
        <v>実測</v>
      </c>
      <c r="H33" s="981"/>
      <c r="I33" s="979"/>
      <c r="J33" s="998"/>
      <c r="K33" s="598"/>
    </row>
    <row r="34" spans="1:11" s="35" customFormat="1" ht="25.5" customHeight="1">
      <c r="A34" s="268"/>
      <c r="B34" s="420"/>
      <c r="C34" s="420"/>
      <c r="D34" s="266"/>
      <c r="E34" s="266"/>
      <c r="F34" s="266"/>
      <c r="G34" s="266"/>
      <c r="H34" s="267"/>
      <c r="I34" s="266"/>
      <c r="J34" s="438"/>
      <c r="K34" s="601"/>
    </row>
    <row r="35" spans="1:11" s="35" customFormat="1" ht="25.5" customHeight="1">
      <c r="A35" s="260"/>
      <c r="B35" s="1029" t="s">
        <v>252</v>
      </c>
      <c r="C35" s="1030"/>
      <c r="D35" s="1030"/>
      <c r="E35" s="1030"/>
      <c r="F35" s="1030"/>
      <c r="G35" s="1030"/>
      <c r="H35" s="1030"/>
      <c r="I35" s="1030"/>
      <c r="J35" s="1031"/>
      <c r="K35" s="602"/>
    </row>
    <row r="36" spans="1:11" s="35" customFormat="1" ht="25.5" customHeight="1">
      <c r="A36" s="34" t="s">
        <v>620</v>
      </c>
      <c r="B36" s="250" t="s">
        <v>17</v>
      </c>
      <c r="C36" s="250" t="s">
        <v>431</v>
      </c>
      <c r="D36" s="250" t="s">
        <v>431</v>
      </c>
      <c r="E36" s="513">
        <f>個別製品情報入力シート!D20</f>
        <v>0</v>
      </c>
      <c r="F36" s="250" t="s">
        <v>192</v>
      </c>
      <c r="G36" s="251" t="s">
        <v>524</v>
      </c>
      <c r="H36" s="520">
        <f t="shared" ref="H36:H46" si="1">E36</f>
        <v>0</v>
      </c>
      <c r="I36" s="250" t="s">
        <v>192</v>
      </c>
      <c r="J36" s="437" t="str">
        <f>個別製品情報入力シート!J28&amp;"　"&amp;個別製品情報入力シート!K28</f>
        <v>受注カード　</v>
      </c>
      <c r="K36" s="600"/>
    </row>
    <row r="37" spans="1:11" s="35" customFormat="1" ht="25.5" customHeight="1">
      <c r="A37" s="34" t="s">
        <v>621</v>
      </c>
      <c r="B37" s="250" t="s">
        <v>17</v>
      </c>
      <c r="C37" s="978" t="s">
        <v>531</v>
      </c>
      <c r="D37" s="250" t="s">
        <v>433</v>
      </c>
      <c r="E37" s="513">
        <f>個別製品情報入力シート!E45</f>
        <v>0</v>
      </c>
      <c r="F37" s="250" t="s">
        <v>379</v>
      </c>
      <c r="G37" s="987" t="s">
        <v>1080</v>
      </c>
      <c r="H37" s="520">
        <f t="shared" si="1"/>
        <v>0</v>
      </c>
      <c r="I37" s="250" t="s">
        <v>379</v>
      </c>
      <c r="J37" s="996" t="str">
        <f>個別製品情報入力シート!J41&amp;"　"&amp;個別製品情報入力シート!K41</f>
        <v>機械仕様書　</v>
      </c>
      <c r="K37" s="597"/>
    </row>
    <row r="38" spans="1:11" s="35" customFormat="1" ht="25.5" customHeight="1">
      <c r="A38" s="34" t="s">
        <v>622</v>
      </c>
      <c r="B38" s="250" t="s">
        <v>17</v>
      </c>
      <c r="C38" s="983"/>
      <c r="D38" s="250" t="s">
        <v>434</v>
      </c>
      <c r="E38" s="513">
        <f>個別製品情報入力シート!F45</f>
        <v>0</v>
      </c>
      <c r="F38" s="250" t="s">
        <v>379</v>
      </c>
      <c r="G38" s="988"/>
      <c r="H38" s="520">
        <f t="shared" si="1"/>
        <v>0</v>
      </c>
      <c r="I38" s="250" t="s">
        <v>379</v>
      </c>
      <c r="J38" s="997"/>
      <c r="K38" s="598"/>
    </row>
    <row r="39" spans="1:11" s="35" customFormat="1" ht="25.5" customHeight="1">
      <c r="A39" s="34" t="s">
        <v>623</v>
      </c>
      <c r="B39" s="250" t="s">
        <v>17</v>
      </c>
      <c r="C39" s="983"/>
      <c r="D39" s="250" t="s">
        <v>435</v>
      </c>
      <c r="E39" s="513">
        <f>個別製品情報入力シート!G45</f>
        <v>0</v>
      </c>
      <c r="F39" s="250" t="s">
        <v>379</v>
      </c>
      <c r="G39" s="988"/>
      <c r="H39" s="520">
        <f t="shared" si="1"/>
        <v>0</v>
      </c>
      <c r="I39" s="250" t="s">
        <v>379</v>
      </c>
      <c r="J39" s="997"/>
      <c r="K39" s="598"/>
    </row>
    <row r="40" spans="1:11" s="35" customFormat="1" ht="25.5" customHeight="1">
      <c r="A40" s="34" t="s">
        <v>624</v>
      </c>
      <c r="B40" s="250" t="s">
        <v>17</v>
      </c>
      <c r="C40" s="983"/>
      <c r="D40" s="250" t="s">
        <v>436</v>
      </c>
      <c r="E40" s="513">
        <f>個別製品情報入力シート!H45</f>
        <v>0</v>
      </c>
      <c r="F40" s="250" t="s">
        <v>379</v>
      </c>
      <c r="G40" s="988"/>
      <c r="H40" s="520">
        <f t="shared" si="1"/>
        <v>0</v>
      </c>
      <c r="I40" s="250" t="s">
        <v>379</v>
      </c>
      <c r="J40" s="997"/>
      <c r="K40" s="598"/>
    </row>
    <row r="41" spans="1:11" s="35" customFormat="1" ht="25.5" customHeight="1">
      <c r="A41" s="34" t="s">
        <v>625</v>
      </c>
      <c r="B41" s="250" t="s">
        <v>17</v>
      </c>
      <c r="C41" s="979"/>
      <c r="D41" s="250" t="s">
        <v>437</v>
      </c>
      <c r="E41" s="517">
        <f>個別製品情報入力シート!I45</f>
        <v>0</v>
      </c>
      <c r="F41" s="250" t="s">
        <v>379</v>
      </c>
      <c r="G41" s="989"/>
      <c r="H41" s="520">
        <f t="shared" si="1"/>
        <v>0</v>
      </c>
      <c r="I41" s="250" t="s">
        <v>379</v>
      </c>
      <c r="J41" s="998"/>
      <c r="K41" s="598"/>
    </row>
    <row r="42" spans="1:11" s="35" customFormat="1" ht="25.5" customHeight="1">
      <c r="A42" s="34" t="s">
        <v>626</v>
      </c>
      <c r="B42" s="250" t="s">
        <v>17</v>
      </c>
      <c r="C42" s="978" t="s">
        <v>341</v>
      </c>
      <c r="D42" s="250" t="s">
        <v>460</v>
      </c>
      <c r="E42" s="513">
        <f>個別製品情報入力シート!E35+個別製品情報入力シート!E36+個別製品情報入力シート!E37</f>
        <v>0</v>
      </c>
      <c r="F42" s="250" t="s">
        <v>376</v>
      </c>
      <c r="G42" s="987" t="s">
        <v>532</v>
      </c>
      <c r="H42" s="520">
        <f t="shared" si="1"/>
        <v>0</v>
      </c>
      <c r="I42" s="250" t="s">
        <v>376</v>
      </c>
      <c r="J42" s="996" t="str">
        <f>個別製品情報入力シート!J35&amp;"　"&amp;個別製品情報入力シート!K35</f>
        <v>生産カード　</v>
      </c>
      <c r="K42" s="597"/>
    </row>
    <row r="43" spans="1:11" s="35" customFormat="1" ht="25.5" customHeight="1">
      <c r="A43" s="34" t="s">
        <v>627</v>
      </c>
      <c r="B43" s="250" t="s">
        <v>17</v>
      </c>
      <c r="C43" s="983"/>
      <c r="D43" s="250" t="s">
        <v>461</v>
      </c>
      <c r="E43" s="513">
        <f>個別製品情報入力シート!F35+個別製品情報入力シート!F36+個別製品情報入力シート!F37</f>
        <v>0</v>
      </c>
      <c r="F43" s="250" t="s">
        <v>376</v>
      </c>
      <c r="G43" s="988"/>
      <c r="H43" s="520">
        <f t="shared" si="1"/>
        <v>0</v>
      </c>
      <c r="I43" s="250" t="s">
        <v>376</v>
      </c>
      <c r="J43" s="997"/>
      <c r="K43" s="598"/>
    </row>
    <row r="44" spans="1:11" s="35" customFormat="1" ht="25.5" customHeight="1">
      <c r="A44" s="34" t="s">
        <v>628</v>
      </c>
      <c r="B44" s="250" t="s">
        <v>17</v>
      </c>
      <c r="C44" s="983"/>
      <c r="D44" s="250" t="s">
        <v>462</v>
      </c>
      <c r="E44" s="513">
        <f>個別製品情報入力シート!G35+個別製品情報入力シート!G36+個別製品情報入力シート!G37</f>
        <v>0</v>
      </c>
      <c r="F44" s="250" t="s">
        <v>376</v>
      </c>
      <c r="G44" s="988"/>
      <c r="H44" s="520">
        <f t="shared" si="1"/>
        <v>0</v>
      </c>
      <c r="I44" s="250" t="s">
        <v>376</v>
      </c>
      <c r="J44" s="997"/>
      <c r="K44" s="598"/>
    </row>
    <row r="45" spans="1:11" s="35" customFormat="1" ht="25.5" customHeight="1">
      <c r="A45" s="34" t="s">
        <v>629</v>
      </c>
      <c r="B45" s="250" t="s">
        <v>17</v>
      </c>
      <c r="C45" s="983"/>
      <c r="D45" s="250" t="s">
        <v>463</v>
      </c>
      <c r="E45" s="513">
        <f>個別製品情報入力シート!H35+個別製品情報入力シート!H36+個別製品情報入力シート!H37</f>
        <v>0</v>
      </c>
      <c r="F45" s="250" t="s">
        <v>376</v>
      </c>
      <c r="G45" s="988"/>
      <c r="H45" s="520">
        <f t="shared" si="1"/>
        <v>0</v>
      </c>
      <c r="I45" s="250" t="s">
        <v>376</v>
      </c>
      <c r="J45" s="997"/>
      <c r="K45" s="598"/>
    </row>
    <row r="46" spans="1:11" s="35" customFormat="1" ht="25.5" customHeight="1">
      <c r="A46" s="34" t="s">
        <v>630</v>
      </c>
      <c r="B46" s="250" t="s">
        <v>17</v>
      </c>
      <c r="C46" s="979"/>
      <c r="D46" s="250" t="s">
        <v>464</v>
      </c>
      <c r="E46" s="513">
        <f>個別製品情報入力シート!I35+個別製品情報入力シート!I36+個別製品情報入力シート!I37</f>
        <v>0</v>
      </c>
      <c r="F46" s="250" t="s">
        <v>376</v>
      </c>
      <c r="G46" s="989"/>
      <c r="H46" s="520">
        <f t="shared" si="1"/>
        <v>0</v>
      </c>
      <c r="I46" s="250" t="s">
        <v>376</v>
      </c>
      <c r="J46" s="998"/>
      <c r="K46" s="598"/>
    </row>
    <row r="47" spans="1:11" s="35" customFormat="1" ht="25.5" customHeight="1">
      <c r="A47" s="34" t="s">
        <v>631</v>
      </c>
      <c r="B47" s="250" t="s">
        <v>17</v>
      </c>
      <c r="C47" s="250" t="s">
        <v>342</v>
      </c>
      <c r="D47" s="250" t="s">
        <v>342</v>
      </c>
      <c r="E47" s="513">
        <f>個別製品情報入力シート!D35+個別製品情報入力シート!D37</f>
        <v>0</v>
      </c>
      <c r="F47" s="250" t="s">
        <v>376</v>
      </c>
      <c r="G47" s="251" t="s">
        <v>1246</v>
      </c>
      <c r="H47" s="520">
        <f t="shared" ref="H47:H52" si="2">E47</f>
        <v>0</v>
      </c>
      <c r="I47" s="250" t="s">
        <v>376</v>
      </c>
      <c r="J47" s="437" t="str">
        <f>個別製品情報入力シート!J35&amp;"　"&amp;個別製品情報入力シート!K35</f>
        <v>生産カード　</v>
      </c>
      <c r="K47" s="600"/>
    </row>
    <row r="48" spans="1:11" s="35" customFormat="1" ht="25.5" customHeight="1">
      <c r="A48" s="34" t="s">
        <v>632</v>
      </c>
      <c r="B48" s="250" t="s">
        <v>17</v>
      </c>
      <c r="C48" s="250" t="s">
        <v>466</v>
      </c>
      <c r="D48" s="250" t="s">
        <v>466</v>
      </c>
      <c r="E48" s="513">
        <f>IF(個別製品情報入力シート!D21="折りあり",個別製品情報入力シート!D35+個別製品情報入力シート!D37,0)</f>
        <v>0</v>
      </c>
      <c r="F48" s="250" t="s">
        <v>376</v>
      </c>
      <c r="G48" s="251" t="s">
        <v>1246</v>
      </c>
      <c r="H48" s="520">
        <f t="shared" si="2"/>
        <v>0</v>
      </c>
      <c r="I48" s="250" t="s">
        <v>376</v>
      </c>
      <c r="J48" s="437" t="str">
        <f>個別製品情報入力シート!J35&amp;"　"&amp;個別製品情報入力シート!K35</f>
        <v>生産カード　</v>
      </c>
      <c r="K48" s="600"/>
    </row>
    <row r="49" spans="1:14" s="35" customFormat="1" ht="25.5" customHeight="1">
      <c r="A49" s="34" t="s">
        <v>633</v>
      </c>
      <c r="B49" s="250" t="s">
        <v>17</v>
      </c>
      <c r="C49" s="250" t="s">
        <v>467</v>
      </c>
      <c r="D49" s="250" t="s">
        <v>467</v>
      </c>
      <c r="E49" s="513" t="e">
        <f>IF(個別製品情報入力シート!D22="無線綴じ",個別製品情報入力シート!D18+個別製品情報入力シート!D19,0)</f>
        <v>#DIV/0!</v>
      </c>
      <c r="F49" s="250" t="s">
        <v>408</v>
      </c>
      <c r="G49" s="251" t="s">
        <v>848</v>
      </c>
      <c r="H49" s="520" t="e">
        <f t="shared" si="2"/>
        <v>#DIV/0!</v>
      </c>
      <c r="I49" s="250" t="s">
        <v>408</v>
      </c>
      <c r="J49" s="439" t="str">
        <f>個別製品情報入力シート!J18&amp;"　"&amp;個別製品情報入力シート!K18&amp;"　・　"&amp;個別製品情報入力シート!J36&amp;"　"&amp;個別製品情報入力シート!K36</f>
        <v>受注カード　　・　生産カード　</v>
      </c>
      <c r="K49" s="603"/>
    </row>
    <row r="50" spans="1:14" s="35" customFormat="1" ht="25.5" customHeight="1">
      <c r="A50" s="34" t="s">
        <v>634</v>
      </c>
      <c r="B50" s="250" t="s">
        <v>17</v>
      </c>
      <c r="C50" s="250" t="s">
        <v>468</v>
      </c>
      <c r="D50" s="250" t="s">
        <v>468</v>
      </c>
      <c r="E50" s="513">
        <f>IF(個別製品情報入力シート!D22="中綴じ",個別製品情報入力シート!D18+個別製品情報入力シート!D19,0)</f>
        <v>0</v>
      </c>
      <c r="F50" s="250" t="s">
        <v>408</v>
      </c>
      <c r="G50" s="251" t="s">
        <v>848</v>
      </c>
      <c r="H50" s="520">
        <f t="shared" si="2"/>
        <v>0</v>
      </c>
      <c r="I50" s="250" t="s">
        <v>408</v>
      </c>
      <c r="J50" s="91" t="str">
        <f>個別製品情報入力シート!J18&amp;"　"&amp;個別製品情報入力シート!K18&amp;"　・　"&amp;個別製品情報入力シート!J36&amp;"　"&amp;個別製品情報入力シート!K36</f>
        <v>受注カード　　・　生産カード　</v>
      </c>
      <c r="K50" s="599"/>
      <c r="L50" s="580"/>
    </row>
    <row r="51" spans="1:14" s="35" customFormat="1" ht="25.5" customHeight="1">
      <c r="A51" s="34" t="s">
        <v>635</v>
      </c>
      <c r="B51" s="250" t="s">
        <v>17</v>
      </c>
      <c r="C51" s="250" t="s">
        <v>345</v>
      </c>
      <c r="D51" s="250" t="s">
        <v>345</v>
      </c>
      <c r="E51" s="513">
        <f>個別製品情報入力シート!D35</f>
        <v>0</v>
      </c>
      <c r="F51" s="250" t="s">
        <v>376</v>
      </c>
      <c r="G51" s="251" t="s">
        <v>534</v>
      </c>
      <c r="H51" s="520">
        <f t="shared" si="2"/>
        <v>0</v>
      </c>
      <c r="I51" s="250" t="s">
        <v>376</v>
      </c>
      <c r="J51" s="437" t="str">
        <f>個別製品情報入力シート!J35&amp;"　"&amp;個別製品情報入力シート!K35</f>
        <v>生産カード　</v>
      </c>
      <c r="K51" s="600"/>
    </row>
    <row r="52" spans="1:14" s="35" customFormat="1" ht="25.5" customHeight="1">
      <c r="A52" s="34" t="s">
        <v>636</v>
      </c>
      <c r="B52" s="250" t="s">
        <v>17</v>
      </c>
      <c r="C52" s="250" t="s">
        <v>346</v>
      </c>
      <c r="D52" s="250" t="s">
        <v>964</v>
      </c>
      <c r="E52" s="513">
        <f>個別製品情報入力シート!D36+個別製品情報入力シート!D37</f>
        <v>0</v>
      </c>
      <c r="F52" s="250" t="s">
        <v>376</v>
      </c>
      <c r="G52" s="251" t="s">
        <v>535</v>
      </c>
      <c r="H52" s="520">
        <f t="shared" si="2"/>
        <v>0</v>
      </c>
      <c r="I52" s="250" t="s">
        <v>376</v>
      </c>
      <c r="J52" s="437" t="str">
        <f>個別製品情報入力シート!J36&amp;"　"&amp;個別製品情報入力シート!K36</f>
        <v>生産カード　</v>
      </c>
      <c r="K52" s="580" t="s">
        <v>1178</v>
      </c>
      <c r="L52" s="588"/>
    </row>
    <row r="53" spans="1:14" s="35" customFormat="1" ht="25.5" customHeight="1">
      <c r="A53" s="993" t="s">
        <v>710</v>
      </c>
      <c r="B53" s="975" t="s">
        <v>17</v>
      </c>
      <c r="C53" s="985" t="s">
        <v>967</v>
      </c>
      <c r="D53" s="420" t="s">
        <v>968</v>
      </c>
      <c r="E53" s="523">
        <f>個別製品情報入力シート!E35*(個別製品情報入力シート!E32/1000)</f>
        <v>0</v>
      </c>
      <c r="F53" s="420" t="s">
        <v>966</v>
      </c>
      <c r="G53" s="987" t="s">
        <v>1102</v>
      </c>
      <c r="H53" s="1024">
        <f>SUM(E53:E57)-(SUM(E58:E62))</f>
        <v>0</v>
      </c>
      <c r="I53" s="1028" t="s">
        <v>981</v>
      </c>
      <c r="J53" s="1025" t="str">
        <f>個別製品情報入力シート!J37&amp;"　"&amp;個別製品情報入力シート!K37</f>
        <v>生産カード　</v>
      </c>
      <c r="K53" s="580" t="s">
        <v>1179</v>
      </c>
      <c r="L53" s="588" t="e">
        <f>SMALL(個別製品情報入力シート!E34:I34,COUNTIF(個別製品情報入力シート!E34:I34,0)+1)</f>
        <v>#NUM!</v>
      </c>
      <c r="M53" s="580" t="s">
        <v>1184</v>
      </c>
    </row>
    <row r="54" spans="1:14" s="35" customFormat="1" ht="25.5" customHeight="1">
      <c r="A54" s="995"/>
      <c r="B54" s="976"/>
      <c r="C54" s="985"/>
      <c r="D54" s="420" t="s">
        <v>969</v>
      </c>
      <c r="E54" s="523">
        <f>個別製品情報入力シート!F35*(個別製品情報入力シート!F32/1000)</f>
        <v>0</v>
      </c>
      <c r="F54" s="420" t="s">
        <v>966</v>
      </c>
      <c r="G54" s="988"/>
      <c r="H54" s="1024"/>
      <c r="I54" s="983"/>
      <c r="J54" s="1026"/>
      <c r="K54" s="580" t="s">
        <v>1192</v>
      </c>
      <c r="L54" s="588">
        <f>個別製品情報入力シート!D17/1000*個別製品情報入力シート!E17/1000*個別製品情報入力シート!D20/2</f>
        <v>0</v>
      </c>
      <c r="M54" s="580" t="s">
        <v>1180</v>
      </c>
    </row>
    <row r="55" spans="1:14" s="35" customFormat="1" ht="25.5" customHeight="1">
      <c r="A55" s="995"/>
      <c r="B55" s="976"/>
      <c r="C55" s="985"/>
      <c r="D55" s="420" t="s">
        <v>970</v>
      </c>
      <c r="E55" s="523">
        <f>個別製品情報入力シート!G35*(個別製品情報入力シート!G32/1000)</f>
        <v>0</v>
      </c>
      <c r="F55" s="420" t="s">
        <v>966</v>
      </c>
      <c r="G55" s="988"/>
      <c r="H55" s="1024"/>
      <c r="I55" s="983"/>
      <c r="J55" s="1026"/>
      <c r="K55" s="580" t="s">
        <v>1183</v>
      </c>
      <c r="L55" s="587" t="e">
        <f>L54*L53*個別製品情報入力シート!D18</f>
        <v>#NUM!</v>
      </c>
      <c r="M55" s="580" t="s">
        <v>1185</v>
      </c>
    </row>
    <row r="56" spans="1:14" s="35" customFormat="1" ht="25.5" customHeight="1">
      <c r="A56" s="995"/>
      <c r="B56" s="976"/>
      <c r="C56" s="985"/>
      <c r="D56" s="420" t="s">
        <v>971</v>
      </c>
      <c r="E56" s="523">
        <f>個別製品情報入力シート!H35*(個別製品情報入力シート!H32/1000)</f>
        <v>0</v>
      </c>
      <c r="F56" s="420" t="s">
        <v>966</v>
      </c>
      <c r="G56" s="988"/>
      <c r="H56" s="1024"/>
      <c r="I56" s="983"/>
      <c r="J56" s="1026"/>
      <c r="K56" s="580" t="s">
        <v>1189</v>
      </c>
      <c r="L56" s="587">
        <f>SUM(E58:E62)</f>
        <v>0</v>
      </c>
      <c r="M56" s="580" t="s">
        <v>1190</v>
      </c>
      <c r="N56" s="644" t="e">
        <f>IF(L56&lt;L55,"×","OK")</f>
        <v>#NUM!</v>
      </c>
    </row>
    <row r="57" spans="1:14" s="35" customFormat="1" ht="25.5" customHeight="1">
      <c r="A57" s="995"/>
      <c r="B57" s="976"/>
      <c r="C57" s="985"/>
      <c r="D57" s="420" t="s">
        <v>972</v>
      </c>
      <c r="E57" s="523">
        <f>個別製品情報入力シート!I35*(個別製品情報入力シート!I32/1000)</f>
        <v>0</v>
      </c>
      <c r="F57" s="420" t="s">
        <v>966</v>
      </c>
      <c r="G57" s="989"/>
      <c r="H57" s="1024"/>
      <c r="I57" s="983"/>
      <c r="J57" s="1026"/>
      <c r="K57" s="592" t="s">
        <v>1191</v>
      </c>
      <c r="L57" s="586" t="e">
        <f>(SUM(E58:E62))/(SUM(E53:E57))</f>
        <v>#DIV/0!</v>
      </c>
      <c r="M57" s="593"/>
      <c r="N57" s="585"/>
    </row>
    <row r="58" spans="1:14" s="35" customFormat="1" ht="25.5" customHeight="1">
      <c r="A58" s="995"/>
      <c r="B58" s="976"/>
      <c r="C58" s="985"/>
      <c r="D58" s="420" t="s">
        <v>976</v>
      </c>
      <c r="E58" s="524">
        <f>個別製品情報入力シート!E28*(個別製品情報入力シート!D17/1000*個別製品情報入力シート!E17/1000)/VLOOKUP(個別製品情報入力シート!E25,原単位一覧!$B$111:$G$123,6,FALSE)*E53</f>
        <v>0</v>
      </c>
      <c r="F58" s="420" t="s">
        <v>966</v>
      </c>
      <c r="G58" s="987" t="s">
        <v>1193</v>
      </c>
      <c r="H58" s="1024"/>
      <c r="I58" s="983"/>
      <c r="J58" s="1026"/>
      <c r="K58" s="606">
        <f t="shared" ref="K58:K61" si="3">IFERROR(E58/E53, 0.7)</f>
        <v>0.7</v>
      </c>
      <c r="L58" s="590" t="str">
        <f>IF(K58&gt;1,"×","ＯＫ")</f>
        <v>ＯＫ</v>
      </c>
      <c r="M58" s="591"/>
    </row>
    <row r="59" spans="1:14" s="35" customFormat="1" ht="25.5" customHeight="1">
      <c r="A59" s="995"/>
      <c r="B59" s="976"/>
      <c r="C59" s="985"/>
      <c r="D59" s="420" t="s">
        <v>977</v>
      </c>
      <c r="E59" s="525">
        <f>(個別製品情報入力シート!F28*(個別製品情報入力シート!D17/1000*個別製品情報入力シート!E17/1000)/VLOOKUP(個別製品情報入力シート!F25,原単位一覧!$B$111:$G$123,6,FALSE)*E54)</f>
        <v>0</v>
      </c>
      <c r="F59" s="420" t="s">
        <v>966</v>
      </c>
      <c r="G59" s="988"/>
      <c r="H59" s="1024"/>
      <c r="I59" s="983"/>
      <c r="J59" s="1026"/>
      <c r="K59" s="606">
        <f t="shared" si="3"/>
        <v>0.7</v>
      </c>
      <c r="L59" s="590" t="str">
        <f t="shared" ref="L59:L62" si="4">IF(K59&gt;1,"×","ＯＫ")</f>
        <v>ＯＫ</v>
      </c>
      <c r="M59" s="589"/>
    </row>
    <row r="60" spans="1:14" s="35" customFormat="1" ht="25.5" customHeight="1">
      <c r="A60" s="995"/>
      <c r="B60" s="976"/>
      <c r="C60" s="985"/>
      <c r="D60" s="420" t="s">
        <v>978</v>
      </c>
      <c r="E60" s="567">
        <f>個別製品情報入力シート!G28*(個別製品情報入力シート!D17/1000*個別製品情報入力シート!E17/1000)/VLOOKUP(個別製品情報入力シート!G25,原単位一覧!$B$111:$G$123,6,FALSE)*E55</f>
        <v>0</v>
      </c>
      <c r="F60" s="420" t="s">
        <v>966</v>
      </c>
      <c r="G60" s="988"/>
      <c r="H60" s="1024"/>
      <c r="I60" s="983"/>
      <c r="J60" s="1026"/>
      <c r="K60" s="606">
        <f t="shared" si="3"/>
        <v>0.7</v>
      </c>
      <c r="L60" s="590" t="str">
        <f t="shared" si="4"/>
        <v>ＯＫ</v>
      </c>
      <c r="M60" s="33"/>
    </row>
    <row r="61" spans="1:14" s="35" customFormat="1" ht="25.5" customHeight="1">
      <c r="A61" s="995"/>
      <c r="B61" s="976"/>
      <c r="C61" s="985"/>
      <c r="D61" s="420" t="s">
        <v>979</v>
      </c>
      <c r="E61" s="568">
        <f>個別製品情報入力シート!H28*(個別製品情報入力シート!D17/1000*個別製品情報入力シート!E17/1000)/VLOOKUP(個別製品情報入力シート!H25,原単位一覧!$B$111:$G$123,6,FALSE)*E56</f>
        <v>0</v>
      </c>
      <c r="F61" s="420" t="s">
        <v>966</v>
      </c>
      <c r="G61" s="988"/>
      <c r="H61" s="1024"/>
      <c r="I61" s="983"/>
      <c r="J61" s="1026"/>
      <c r="K61" s="606">
        <f t="shared" si="3"/>
        <v>0.7</v>
      </c>
      <c r="L61" s="590" t="str">
        <f t="shared" si="4"/>
        <v>ＯＫ</v>
      </c>
      <c r="M61" s="33"/>
    </row>
    <row r="62" spans="1:14" s="35" customFormat="1" ht="25.5" customHeight="1">
      <c r="A62" s="994"/>
      <c r="B62" s="976"/>
      <c r="C62" s="985"/>
      <c r="D62" s="420" t="s">
        <v>980</v>
      </c>
      <c r="E62" s="525">
        <f>個別製品情報入力シート!I28*(個別製品情報入力シート!D17/1000*個別製品情報入力シート!E17/1000)/VLOOKUP(個別製品情報入力シート!I25,原単位一覧!$B$111:$G$123,6,FALSE)*E57</f>
        <v>0</v>
      </c>
      <c r="F62" s="420" t="s">
        <v>966</v>
      </c>
      <c r="G62" s="989"/>
      <c r="H62" s="1024"/>
      <c r="I62" s="983"/>
      <c r="J62" s="1027"/>
      <c r="K62" s="606">
        <f>IFERROR(E62/E57, 0.7)</f>
        <v>0.7</v>
      </c>
      <c r="L62" s="590" t="str">
        <f t="shared" si="4"/>
        <v>ＯＫ</v>
      </c>
    </row>
    <row r="63" spans="1:14" s="35" customFormat="1" ht="25.5" customHeight="1">
      <c r="A63" s="993" t="s">
        <v>965</v>
      </c>
      <c r="B63" s="975" t="s">
        <v>17</v>
      </c>
      <c r="C63" s="985" t="s">
        <v>536</v>
      </c>
      <c r="D63" s="420" t="s">
        <v>860</v>
      </c>
      <c r="E63" s="525">
        <f>(個別製品情報入力シート!E35+個別製品情報入力シート!E37)*個別製品情報入力シート!E32/1000</f>
        <v>0</v>
      </c>
      <c r="F63" s="420" t="s">
        <v>386</v>
      </c>
      <c r="G63" s="986" t="s">
        <v>865</v>
      </c>
      <c r="H63" s="984">
        <f>SUM(E63:E67)*E68/1000</f>
        <v>0</v>
      </c>
      <c r="I63" s="985" t="s">
        <v>866</v>
      </c>
      <c r="J63" s="1023" t="str">
        <f>個別製品情報入力シート!J36&amp;"　"&amp;個別製品情報入力シート!K36&amp;"　・PCRシナリオ"</f>
        <v>生産カード　　・PCRシナリオ</v>
      </c>
      <c r="K63" s="597"/>
    </row>
    <row r="64" spans="1:14" s="35" customFormat="1" ht="25.5" customHeight="1">
      <c r="A64" s="995"/>
      <c r="B64" s="976"/>
      <c r="C64" s="985"/>
      <c r="D64" s="420" t="s">
        <v>861</v>
      </c>
      <c r="E64" s="525">
        <f>(個別製品情報入力シート!F35+個別製品情報入力シート!F37)*個別製品情報入力シート!F32/1000</f>
        <v>0</v>
      </c>
      <c r="F64" s="420" t="s">
        <v>386</v>
      </c>
      <c r="G64" s="986"/>
      <c r="H64" s="984"/>
      <c r="I64" s="985"/>
      <c r="J64" s="986"/>
      <c r="K64" s="598"/>
      <c r="L64" s="586"/>
    </row>
    <row r="65" spans="1:12" s="35" customFormat="1" ht="25.5" customHeight="1">
      <c r="A65" s="995"/>
      <c r="B65" s="976"/>
      <c r="C65" s="985"/>
      <c r="D65" s="420" t="s">
        <v>862</v>
      </c>
      <c r="E65" s="525">
        <f>(個別製品情報入力シート!G35+個別製品情報入力シート!G37)*個別製品情報入力シート!G32/1000</f>
        <v>0</v>
      </c>
      <c r="F65" s="420" t="s">
        <v>386</v>
      </c>
      <c r="G65" s="986"/>
      <c r="H65" s="984"/>
      <c r="I65" s="985"/>
      <c r="J65" s="986"/>
      <c r="K65" s="598"/>
      <c r="L65" s="586"/>
    </row>
    <row r="66" spans="1:12" s="35" customFormat="1" ht="25.5" customHeight="1">
      <c r="A66" s="995"/>
      <c r="B66" s="976"/>
      <c r="C66" s="985"/>
      <c r="D66" s="420" t="s">
        <v>863</v>
      </c>
      <c r="E66" s="525">
        <f>(個別製品情報入力シート!H35+個別製品情報入力シート!H37)*個別製品情報入力シート!H32/1000</f>
        <v>0</v>
      </c>
      <c r="F66" s="420" t="s">
        <v>386</v>
      </c>
      <c r="G66" s="986"/>
      <c r="H66" s="984"/>
      <c r="I66" s="985"/>
      <c r="J66" s="986"/>
      <c r="K66" s="598"/>
    </row>
    <row r="67" spans="1:12" s="35" customFormat="1" ht="25.5" customHeight="1">
      <c r="A67" s="995"/>
      <c r="B67" s="976"/>
      <c r="C67" s="985"/>
      <c r="D67" s="420" t="s">
        <v>864</v>
      </c>
      <c r="E67" s="525">
        <f>(個別製品情報入力シート!I35+個別製品情報入力シート!I37)*個別製品情報入力シート!I32/1000</f>
        <v>0</v>
      </c>
      <c r="F67" s="420" t="s">
        <v>386</v>
      </c>
      <c r="G67" s="986"/>
      <c r="H67" s="984"/>
      <c r="I67" s="985"/>
      <c r="J67" s="986"/>
      <c r="K67" s="598"/>
    </row>
    <row r="68" spans="1:12" s="35" customFormat="1" ht="25.5" customHeight="1">
      <c r="A68" s="994"/>
      <c r="B68" s="977"/>
      <c r="C68" s="985"/>
      <c r="D68" s="420" t="s">
        <v>529</v>
      </c>
      <c r="E68" s="523">
        <f>VLOOKUP(個別製品情報入力シート!D53,原単位一覧!C86:K90,7,FALSE)</f>
        <v>50</v>
      </c>
      <c r="F68" s="420" t="s">
        <v>414</v>
      </c>
      <c r="G68" s="451" t="s">
        <v>708</v>
      </c>
      <c r="H68" s="984"/>
      <c r="I68" s="985"/>
      <c r="J68" s="986"/>
      <c r="K68" s="598"/>
    </row>
    <row r="69" spans="1:12" s="35" customFormat="1" ht="25.5" customHeight="1">
      <c r="A69" s="258"/>
      <c r="B69" s="545" t="s">
        <v>253</v>
      </c>
      <c r="C69" s="543"/>
      <c r="D69" s="543"/>
      <c r="E69" s="543"/>
      <c r="F69" s="543"/>
      <c r="G69" s="543"/>
      <c r="H69" s="543"/>
      <c r="I69" s="543"/>
      <c r="J69" s="544"/>
      <c r="K69" s="604"/>
    </row>
    <row r="70" spans="1:12" s="35" customFormat="1" ht="25.5" customHeight="1">
      <c r="A70" s="993" t="s">
        <v>637</v>
      </c>
      <c r="B70" s="975" t="s">
        <v>17</v>
      </c>
      <c r="C70" s="978" t="s">
        <v>1003</v>
      </c>
      <c r="D70" s="250" t="s">
        <v>528</v>
      </c>
      <c r="E70" s="513">
        <f>SUM(E58:E62)</f>
        <v>0</v>
      </c>
      <c r="F70" s="250" t="s">
        <v>386</v>
      </c>
      <c r="G70" s="451" t="str">
        <f>A53&amp;"の被印刷物①～⑤製品重量の合計"</f>
        <v>Ｂ18の被印刷物①～⑤製品重量の合計</v>
      </c>
      <c r="H70" s="980">
        <f>SUM(E70:E70)/1000*E71</f>
        <v>0</v>
      </c>
      <c r="I70" s="978" t="s">
        <v>423</v>
      </c>
      <c r="J70" s="996" t="str">
        <f>個別製品情報入力シート!J32&amp;"　"&amp;個別製品情報入力シート!K32&amp;"　・PCRシナリオ"</f>
        <v>生産カード　　・PCRシナリオ</v>
      </c>
      <c r="K70" s="597"/>
    </row>
    <row r="71" spans="1:12" s="35" customFormat="1" ht="25.5" customHeight="1">
      <c r="A71" s="994"/>
      <c r="B71" s="977"/>
      <c r="C71" s="979"/>
      <c r="D71" s="250" t="s">
        <v>529</v>
      </c>
      <c r="E71" s="517">
        <f>VLOOKUP(個別製品情報入力シート!D54,原単位一覧!$C$91:$K$96,7,FALSE)</f>
        <v>1000</v>
      </c>
      <c r="F71" s="250" t="s">
        <v>414</v>
      </c>
      <c r="G71" s="251" t="s">
        <v>1104</v>
      </c>
      <c r="H71" s="981"/>
      <c r="I71" s="979"/>
      <c r="J71" s="1018"/>
      <c r="K71" s="597"/>
    </row>
    <row r="72" spans="1:12" s="35" customFormat="1" ht="25.5" customHeight="1">
      <c r="A72" s="993" t="s">
        <v>638</v>
      </c>
      <c r="B72" s="975" t="s">
        <v>17</v>
      </c>
      <c r="C72" s="978" t="s">
        <v>1009</v>
      </c>
      <c r="D72" s="250" t="s">
        <v>540</v>
      </c>
      <c r="E72" s="517">
        <f>(VLOOKUP(個別製品情報入力シート!E25,原単位一覧!$B$111:$C$123,2,FALSE))*個別製品情報入力シート!E35*(個別製品情報入力シート!E30+個別製品情報入力シート!E31)/2</f>
        <v>0</v>
      </c>
      <c r="F72" s="642" t="s">
        <v>386</v>
      </c>
      <c r="G72" s="990" t="s">
        <v>987</v>
      </c>
      <c r="H72" s="980">
        <f>SUM(E72:E76)/1000*E77</f>
        <v>0</v>
      </c>
      <c r="I72" s="978" t="s">
        <v>504</v>
      </c>
      <c r="J72" s="996" t="str">
        <f>個別製品情報入力シート!J35&amp;"　"&amp;個別製品情報入力シート!K35&amp;"　・PCRシナリオ・原単位"</f>
        <v>生産カード　　・PCRシナリオ・原単位</v>
      </c>
      <c r="K72" s="597"/>
    </row>
    <row r="73" spans="1:12" s="35" customFormat="1" ht="25.5" customHeight="1">
      <c r="A73" s="995"/>
      <c r="B73" s="976"/>
      <c r="C73" s="983"/>
      <c r="D73" s="250" t="s">
        <v>541</v>
      </c>
      <c r="E73" s="517">
        <f>(VLOOKUP(個別製品情報入力シート!F25,原単位一覧!$B$111:$C$123,2,FALSE))*個別製品情報入力シート!F35*(個別製品情報入力シート!F30+個別製品情報入力シート!F30)/2</f>
        <v>0</v>
      </c>
      <c r="F73" s="642" t="s">
        <v>386</v>
      </c>
      <c r="G73" s="991"/>
      <c r="H73" s="982"/>
      <c r="I73" s="983"/>
      <c r="J73" s="997"/>
      <c r="K73" s="598"/>
    </row>
    <row r="74" spans="1:12" s="35" customFormat="1" ht="25.5" customHeight="1">
      <c r="A74" s="995"/>
      <c r="B74" s="976"/>
      <c r="C74" s="983"/>
      <c r="D74" s="250" t="s">
        <v>542</v>
      </c>
      <c r="E74" s="517">
        <f>(VLOOKUP(個別製品情報入力シート!G25,原単位一覧!$B$111:$C$123,2,FALSE))*個別製品情報入力シート!G35*(個別製品情報入力シート!G30+個別製品情報入力シート!G31)/2</f>
        <v>0</v>
      </c>
      <c r="F74" s="642" t="s">
        <v>386</v>
      </c>
      <c r="G74" s="991"/>
      <c r="H74" s="982"/>
      <c r="I74" s="983"/>
      <c r="J74" s="997"/>
      <c r="K74" s="598"/>
    </row>
    <row r="75" spans="1:12" s="35" customFormat="1" ht="25.5" customHeight="1">
      <c r="A75" s="995"/>
      <c r="B75" s="976"/>
      <c r="C75" s="983"/>
      <c r="D75" s="250" t="s">
        <v>543</v>
      </c>
      <c r="E75" s="517">
        <f>(VLOOKUP(個別製品情報入力シート!H25,原単位一覧!$B$111:$C$123,2,FALSE))*個別製品情報入力シート!H35*(個別製品情報入力シート!H30+個別製品情報入力シート!H31)/2</f>
        <v>0</v>
      </c>
      <c r="F75" s="642" t="s">
        <v>386</v>
      </c>
      <c r="G75" s="991"/>
      <c r="H75" s="982"/>
      <c r="I75" s="983"/>
      <c r="J75" s="997"/>
      <c r="K75" s="598"/>
    </row>
    <row r="76" spans="1:12" s="35" customFormat="1" ht="25.5" customHeight="1">
      <c r="A76" s="995"/>
      <c r="B76" s="976"/>
      <c r="C76" s="983"/>
      <c r="D76" s="250" t="s">
        <v>544</v>
      </c>
      <c r="E76" s="517">
        <f>(VLOOKUP(個別製品情報入力シート!I25,原単位一覧!$B$111:$C$123,2,FALSE))*個別製品情報入力シート!I35*(個別製品情報入力シート!I30+個別製品情報入力シート!I30)/2</f>
        <v>0</v>
      </c>
      <c r="F76" s="642" t="s">
        <v>386</v>
      </c>
      <c r="G76" s="992"/>
      <c r="H76" s="982"/>
      <c r="I76" s="983"/>
      <c r="J76" s="997"/>
      <c r="K76" s="598"/>
    </row>
    <row r="77" spans="1:12" s="35" customFormat="1" ht="25.5" customHeight="1">
      <c r="A77" s="994"/>
      <c r="B77" s="977"/>
      <c r="C77" s="979"/>
      <c r="D77" s="420" t="s">
        <v>529</v>
      </c>
      <c r="E77" s="513">
        <f>VLOOKUP(個別製品情報入力シート!D54,原単位一覧!$C$91:$K$96,7,FALSE)</f>
        <v>1000</v>
      </c>
      <c r="F77" s="250" t="s">
        <v>414</v>
      </c>
      <c r="G77" s="251" t="s">
        <v>1105</v>
      </c>
      <c r="H77" s="981"/>
      <c r="I77" s="979"/>
      <c r="J77" s="998"/>
      <c r="K77" s="598"/>
    </row>
    <row r="78" spans="1:12" s="35" customFormat="1" ht="25.5" customHeight="1">
      <c r="A78" s="993" t="s">
        <v>639</v>
      </c>
      <c r="B78" s="975" t="s">
        <v>17</v>
      </c>
      <c r="C78" s="978" t="s">
        <v>471</v>
      </c>
      <c r="D78" s="261" t="s">
        <v>538</v>
      </c>
      <c r="E78" s="525">
        <f>IF(個別製品情報入力シート!D22="無線綴じ",(原単位一覧!C109*個別製品情報入力シート!D18*個別製品情報入力シート!D20*個別製品情報入力シート!D17),0)</f>
        <v>0</v>
      </c>
      <c r="F78" s="420" t="s">
        <v>514</v>
      </c>
      <c r="G78" s="251" t="s">
        <v>547</v>
      </c>
      <c r="H78" s="980">
        <f>E78/1000*E79</f>
        <v>0</v>
      </c>
      <c r="I78" s="978" t="s">
        <v>423</v>
      </c>
      <c r="J78" s="996" t="str">
        <f>個別製品情報入力シート!J17&amp;"　"&amp;個別製品情報入力シート!K17&amp;"　・PCRシナリオ・原単位"</f>
        <v>受注カード　　・PCRシナリオ・原単位</v>
      </c>
      <c r="K78" s="597"/>
    </row>
    <row r="79" spans="1:12" s="35" customFormat="1" ht="25.5" customHeight="1">
      <c r="A79" s="994"/>
      <c r="B79" s="977"/>
      <c r="C79" s="979"/>
      <c r="D79" s="261" t="s">
        <v>539</v>
      </c>
      <c r="E79" s="517">
        <f>VLOOKUP(個別製品情報入力シート!D54,原単位一覧!$C$91:$K$96,7,FALSE)</f>
        <v>1000</v>
      </c>
      <c r="F79" s="250" t="s">
        <v>414</v>
      </c>
      <c r="G79" s="251" t="s">
        <v>1083</v>
      </c>
      <c r="H79" s="981"/>
      <c r="I79" s="979"/>
      <c r="J79" s="998"/>
      <c r="K79" s="598"/>
    </row>
    <row r="80" spans="1:12" s="35" customFormat="1" ht="25.5" customHeight="1">
      <c r="A80" s="993" t="s">
        <v>640</v>
      </c>
      <c r="B80" s="975" t="s">
        <v>17</v>
      </c>
      <c r="C80" s="978" t="s">
        <v>472</v>
      </c>
      <c r="D80" s="420" t="s">
        <v>545</v>
      </c>
      <c r="E80" s="525">
        <f>IF(個別製品情報入力シート!D22="中綴じ",(原単位一覧!C110*個別製品情報入力シート!D18),0)</f>
        <v>0</v>
      </c>
      <c r="F80" s="420" t="s">
        <v>386</v>
      </c>
      <c r="G80" s="251" t="s">
        <v>548</v>
      </c>
      <c r="H80" s="980">
        <f>E80/1000*E81</f>
        <v>0</v>
      </c>
      <c r="I80" s="978" t="s">
        <v>423</v>
      </c>
      <c r="J80" s="999" t="str">
        <f>個別製品情報入力シート!J17&amp;"　"&amp;個別製品情報入力シート!K17&amp;"　・PCRシナリオ・原単位"</f>
        <v>受注カード　　・PCRシナリオ・原単位</v>
      </c>
      <c r="K80" s="598"/>
    </row>
    <row r="81" spans="1:11" s="35" customFormat="1" ht="25.5" customHeight="1">
      <c r="A81" s="994"/>
      <c r="B81" s="977"/>
      <c r="C81" s="979"/>
      <c r="D81" s="420" t="s">
        <v>529</v>
      </c>
      <c r="E81" s="517">
        <f>VLOOKUP(個別製品情報入力シート!D54,原単位一覧!$C$91:$K$96,7,FALSE)</f>
        <v>1000</v>
      </c>
      <c r="F81" s="250" t="s">
        <v>414</v>
      </c>
      <c r="G81" s="251" t="s">
        <v>1082</v>
      </c>
      <c r="H81" s="981"/>
      <c r="I81" s="979"/>
      <c r="J81" s="998"/>
      <c r="K81" s="598"/>
    </row>
    <row r="82" spans="1:11" s="35" customFormat="1" ht="25.5" customHeight="1">
      <c r="A82" s="34" t="s">
        <v>641</v>
      </c>
      <c r="B82" s="250" t="s">
        <v>17</v>
      </c>
      <c r="C82" s="250" t="s">
        <v>715</v>
      </c>
      <c r="D82" s="417" t="s">
        <v>509</v>
      </c>
      <c r="E82" s="516">
        <f>IF(OR(個別製品情報入力シート!D57="プラスチック製封筒",個別製品情報入力シート!D57="なし"),0,個別製品情報入力シート!D58)</f>
        <v>0</v>
      </c>
      <c r="F82" s="417" t="s">
        <v>376</v>
      </c>
      <c r="G82" s="251" t="s">
        <v>331</v>
      </c>
      <c r="H82" s="518">
        <f>E82</f>
        <v>0</v>
      </c>
      <c r="I82" s="249" t="s">
        <v>376</v>
      </c>
      <c r="J82" s="437" t="str">
        <f>個別製品情報入力シート!J58&amp;"　"&amp;個別製品情報入力シート!K58</f>
        <v>受注カード　</v>
      </c>
      <c r="K82" s="600"/>
    </row>
    <row r="83" spans="1:11" s="35" customFormat="1" ht="25.5" customHeight="1">
      <c r="A83" s="34" t="s">
        <v>642</v>
      </c>
      <c r="B83" s="250" t="s">
        <v>17</v>
      </c>
      <c r="C83" s="250" t="s">
        <v>716</v>
      </c>
      <c r="D83" s="250" t="s">
        <v>714</v>
      </c>
      <c r="E83" s="513">
        <f>IF(個別製品情報入力シート!D57="プラスチック製封筒",個別製品情報入力シート!D59*個別製品情報入力シート!D58,0)</f>
        <v>0</v>
      </c>
      <c r="F83" s="250" t="s">
        <v>718</v>
      </c>
      <c r="G83" s="251" t="s">
        <v>719</v>
      </c>
      <c r="H83" s="518">
        <f>E83/1000</f>
        <v>0</v>
      </c>
      <c r="I83" s="249" t="s">
        <v>386</v>
      </c>
      <c r="J83" s="437" t="str">
        <f>個別製品情報入力シート!J59&amp;"　"&amp;個別製品情報入力シート!K59</f>
        <v>受注カード　</v>
      </c>
      <c r="K83" s="600"/>
    </row>
    <row r="84" spans="1:11" s="35" customFormat="1" ht="25.5" customHeight="1">
      <c r="A84" s="993" t="s">
        <v>767</v>
      </c>
      <c r="B84" s="975" t="s">
        <v>17</v>
      </c>
      <c r="C84" s="978" t="s">
        <v>720</v>
      </c>
      <c r="D84" s="250" t="s">
        <v>1016</v>
      </c>
      <c r="E84" s="513">
        <f>E83/1000</f>
        <v>0</v>
      </c>
      <c r="F84" s="420" t="s">
        <v>386</v>
      </c>
      <c r="G84" s="251" t="s">
        <v>1112</v>
      </c>
      <c r="H84" s="980">
        <f>E84*E85/1000</f>
        <v>0</v>
      </c>
      <c r="I84" s="978" t="s">
        <v>423</v>
      </c>
      <c r="J84" s="996" t="str">
        <f>個別製品情報入力シート!J59&amp;"　"&amp;個別製品情報入力シート!K59&amp;"　・PCRシナリオ"</f>
        <v>受注カード　　・PCRシナリオ</v>
      </c>
      <c r="K84" s="597"/>
    </row>
    <row r="85" spans="1:11" s="35" customFormat="1" ht="25.5" customHeight="1">
      <c r="A85" s="994"/>
      <c r="B85" s="977"/>
      <c r="C85" s="979"/>
      <c r="D85" s="250" t="s">
        <v>529</v>
      </c>
      <c r="E85" s="513">
        <f>VLOOKUP(個別製品情報入力シート!D54,原単位一覧!$C$98:$K$103,7,FALSE)</f>
        <v>1000</v>
      </c>
      <c r="F85" s="250" t="s">
        <v>414</v>
      </c>
      <c r="G85" s="251" t="s">
        <v>1081</v>
      </c>
      <c r="H85" s="981"/>
      <c r="I85" s="979"/>
      <c r="J85" s="1018"/>
      <c r="K85" s="597"/>
    </row>
    <row r="86" spans="1:11" s="35" customFormat="1" ht="25.5" customHeight="1">
      <c r="A86" s="34" t="s">
        <v>643</v>
      </c>
      <c r="B86" s="250" t="s">
        <v>17</v>
      </c>
      <c r="C86" s="250" t="s">
        <v>288</v>
      </c>
      <c r="D86" s="250" t="s">
        <v>578</v>
      </c>
      <c r="E86" s="517">
        <f>個別製品情報入力シート!D35</f>
        <v>0</v>
      </c>
      <c r="F86" s="250" t="s">
        <v>376</v>
      </c>
      <c r="G86" s="251" t="s">
        <v>526</v>
      </c>
      <c r="H86" s="518">
        <f>E86</f>
        <v>0</v>
      </c>
      <c r="I86" s="249" t="s">
        <v>376</v>
      </c>
      <c r="J86" s="437" t="str">
        <f>個別製品情報入力シート!J35&amp;"　"&amp;個別製品情報入力シート!K35</f>
        <v>生産カード　</v>
      </c>
      <c r="K86" s="600"/>
    </row>
    <row r="87" spans="1:11" s="35" customFormat="1" ht="25.5" customHeight="1">
      <c r="A87" s="1033" t="s">
        <v>1011</v>
      </c>
      <c r="B87" s="985" t="s">
        <v>17</v>
      </c>
      <c r="C87" s="978" t="s">
        <v>1014</v>
      </c>
      <c r="D87" s="420" t="s">
        <v>1010</v>
      </c>
      <c r="E87" s="525">
        <f>E70+E72+E73+E74+E75+E76+E78+E80</f>
        <v>0</v>
      </c>
      <c r="F87" s="420" t="s">
        <v>966</v>
      </c>
      <c r="G87" s="451" t="s">
        <v>1012</v>
      </c>
      <c r="H87" s="980">
        <f>E87*E88/1000</f>
        <v>0</v>
      </c>
      <c r="I87" s="978" t="s">
        <v>866</v>
      </c>
      <c r="J87" s="1025" t="str">
        <f>個別製品情報入力シート!J32&amp;"　"&amp;個別製品情報入力シート!K32&amp;"　・PCRシナリオ"</f>
        <v>生産カード　　・PCRシナリオ</v>
      </c>
      <c r="K87" s="597"/>
    </row>
    <row r="88" spans="1:11" s="35" customFormat="1" ht="25.5" customHeight="1">
      <c r="A88" s="1034"/>
      <c r="B88" s="985"/>
      <c r="C88" s="979"/>
      <c r="D88" s="420" t="s">
        <v>529</v>
      </c>
      <c r="E88" s="525">
        <f>VLOOKUP(個別製品情報入力シート!D55,原単位一覧!$C$98:$K$103,7,FALSE)</f>
        <v>0</v>
      </c>
      <c r="F88" s="420" t="s">
        <v>1004</v>
      </c>
      <c r="G88" s="451" t="s">
        <v>1083</v>
      </c>
      <c r="H88" s="981"/>
      <c r="I88" s="979"/>
      <c r="J88" s="1027"/>
      <c r="K88" s="597"/>
    </row>
    <row r="89" spans="1:11" s="35" customFormat="1" ht="25.5" customHeight="1">
      <c r="A89" s="1033" t="s">
        <v>1015</v>
      </c>
      <c r="B89" s="978" t="s">
        <v>17</v>
      </c>
      <c r="C89" s="978" t="s">
        <v>1018</v>
      </c>
      <c r="D89" s="250" t="s">
        <v>1017</v>
      </c>
      <c r="E89" s="517">
        <f>E84</f>
        <v>0</v>
      </c>
      <c r="F89" s="250" t="s">
        <v>966</v>
      </c>
      <c r="G89" s="251" t="s">
        <v>1019</v>
      </c>
      <c r="H89" s="980">
        <f>E89*E90/1000</f>
        <v>0</v>
      </c>
      <c r="I89" s="978" t="s">
        <v>866</v>
      </c>
      <c r="J89" s="1035" t="str">
        <f>個別製品情報入力シート!J59&amp;"　"&amp;個別製品情報入力シート!K59&amp;"　・PCRシナリオ"</f>
        <v>受注カード　　・PCRシナリオ</v>
      </c>
      <c r="K89" s="597"/>
    </row>
    <row r="90" spans="1:11" s="35" customFormat="1" ht="25.5" customHeight="1">
      <c r="A90" s="1034"/>
      <c r="B90" s="979"/>
      <c r="C90" s="979"/>
      <c r="D90" s="250" t="s">
        <v>529</v>
      </c>
      <c r="E90" s="517">
        <f>VLOOKUP(個別製品情報入力シート!D55,原単位一覧!$C$98:$K$103,7,FALSE)</f>
        <v>0</v>
      </c>
      <c r="F90" s="250" t="s">
        <v>1004</v>
      </c>
      <c r="G90" s="451" t="s">
        <v>1083</v>
      </c>
      <c r="H90" s="981"/>
      <c r="I90" s="979"/>
      <c r="J90" s="1036"/>
      <c r="K90" s="597"/>
    </row>
    <row r="91" spans="1:11" s="35" customFormat="1" ht="25.5" customHeight="1">
      <c r="A91" s="34"/>
      <c r="B91" s="250"/>
      <c r="C91" s="250"/>
      <c r="D91" s="250"/>
      <c r="E91" s="513"/>
      <c r="F91" s="250"/>
      <c r="G91" s="251"/>
      <c r="H91" s="518"/>
      <c r="I91" s="249"/>
      <c r="J91" s="91"/>
      <c r="K91" s="599"/>
    </row>
    <row r="92" spans="1:11" s="35" customFormat="1" ht="25.5" customHeight="1">
      <c r="A92" s="34"/>
      <c r="B92" s="545" t="s">
        <v>254</v>
      </c>
      <c r="C92" s="543"/>
      <c r="D92" s="543"/>
      <c r="E92" s="543"/>
      <c r="F92" s="543"/>
      <c r="G92" s="543"/>
      <c r="H92" s="543"/>
      <c r="I92" s="543"/>
      <c r="J92" s="544"/>
      <c r="K92" s="604"/>
    </row>
    <row r="93" spans="1:11" s="35" customFormat="1" ht="25.5" customHeight="1">
      <c r="A93" s="993" t="s">
        <v>644</v>
      </c>
      <c r="B93" s="975" t="s">
        <v>17</v>
      </c>
      <c r="C93" s="978" t="s">
        <v>1110</v>
      </c>
      <c r="D93" s="250" t="s">
        <v>550</v>
      </c>
      <c r="E93" s="517">
        <f>(VLOOKUP(個別製品情報入力シート!D61,原単位一覧!B136:F140,2,FALSE))*(個別製品情報入力シート!D18*個別製品情報入力シート!D62)</f>
        <v>0</v>
      </c>
      <c r="F93" s="250" t="s">
        <v>386</v>
      </c>
      <c r="G93" s="257" t="s">
        <v>751</v>
      </c>
      <c r="H93" s="980">
        <f>E93/1000*E94</f>
        <v>0</v>
      </c>
      <c r="I93" s="978" t="s">
        <v>423</v>
      </c>
      <c r="J93" s="999" t="str">
        <f>個別製品情報入力シート!J18&amp;"　"&amp;個別製品情報入力シート!K18&amp;"　・　"&amp;個別製品情報入力シート!J62&amp;"　"&amp;個別製品情報入力シート!K62&amp;"　・PCRシナリオ"</f>
        <v>受注カード　　・　営業情報　　・PCRシナリオ</v>
      </c>
      <c r="K93" s="598"/>
    </row>
    <row r="94" spans="1:11" s="35" customFormat="1" ht="25.5" customHeight="1">
      <c r="A94" s="994"/>
      <c r="B94" s="977"/>
      <c r="C94" s="979"/>
      <c r="D94" s="250" t="s">
        <v>529</v>
      </c>
      <c r="E94" s="517">
        <f>VLOOKUP(個別製品情報入力シート!D64,原単位一覧!$C$98:$K$103,7,FALSE)</f>
        <v>0</v>
      </c>
      <c r="F94" s="250" t="s">
        <v>414</v>
      </c>
      <c r="G94" s="257" t="s">
        <v>1081</v>
      </c>
      <c r="H94" s="981"/>
      <c r="I94" s="979"/>
      <c r="J94" s="998"/>
      <c r="K94" s="598"/>
    </row>
    <row r="95" spans="1:11" s="35" customFormat="1" ht="25.5" customHeight="1">
      <c r="A95" s="993" t="s">
        <v>645</v>
      </c>
      <c r="B95" s="975" t="s">
        <v>17</v>
      </c>
      <c r="C95" s="978" t="s">
        <v>780</v>
      </c>
      <c r="D95" s="254" t="s">
        <v>549</v>
      </c>
      <c r="E95" s="517">
        <f>IF(個別製品情報入力シート!D61="なし",0,個別製品情報入力シート!D63/1000*(個別製品情報入力シート!D18*個別製品情報入力シート!D62))</f>
        <v>0</v>
      </c>
      <c r="F95" s="250" t="s">
        <v>386</v>
      </c>
      <c r="G95" s="257" t="s">
        <v>752</v>
      </c>
      <c r="H95" s="980">
        <f>E95/1000*E96</f>
        <v>0</v>
      </c>
      <c r="I95" s="978" t="s">
        <v>423</v>
      </c>
      <c r="J95" s="996" t="str">
        <f>個別製品情報入力シート!J63&amp;"　"&amp;個別製品情報入力シート!K63&amp;"・"&amp;個別製品情報入力シート!J62&amp;"　"&amp;個別製品情報入力シート!K62&amp;"　・PCRシナリオ"</f>
        <v>営業情報　・営業情報　　・PCRシナリオ</v>
      </c>
      <c r="K95" s="597"/>
    </row>
    <row r="96" spans="1:11" s="35" customFormat="1" ht="25.5" customHeight="1">
      <c r="A96" s="994"/>
      <c r="B96" s="977"/>
      <c r="C96" s="979"/>
      <c r="D96" s="250" t="s">
        <v>529</v>
      </c>
      <c r="E96" s="517">
        <f>VLOOKUP(個別製品情報入力シート!D64,原単位一覧!$C$98:$K$103,7,FALSE)</f>
        <v>0</v>
      </c>
      <c r="F96" s="250" t="s">
        <v>414</v>
      </c>
      <c r="G96" s="257" t="s">
        <v>1081</v>
      </c>
      <c r="H96" s="981"/>
      <c r="I96" s="979"/>
      <c r="J96" s="998"/>
      <c r="K96" s="598"/>
    </row>
    <row r="97" spans="1:11" s="35" customFormat="1" ht="25.5" customHeight="1">
      <c r="A97" s="34"/>
      <c r="B97" s="250"/>
      <c r="C97" s="250"/>
      <c r="D97" s="250"/>
      <c r="E97" s="254"/>
      <c r="F97" s="250"/>
      <c r="G97" s="251"/>
      <c r="H97" s="265"/>
      <c r="I97" s="249"/>
      <c r="J97" s="91"/>
      <c r="K97" s="599"/>
    </row>
    <row r="98" spans="1:11" s="35" customFormat="1" ht="25.5" customHeight="1">
      <c r="A98" s="34"/>
      <c r="B98" s="546" t="s">
        <v>359</v>
      </c>
      <c r="C98" s="543"/>
      <c r="D98" s="543"/>
      <c r="E98" s="543"/>
      <c r="F98" s="543"/>
      <c r="G98" s="543"/>
      <c r="H98" s="543"/>
      <c r="I98" s="543"/>
      <c r="J98" s="544"/>
      <c r="K98" s="604"/>
    </row>
    <row r="99" spans="1:11" s="35" customFormat="1" ht="25.5" customHeight="1">
      <c r="A99" s="993" t="s">
        <v>646</v>
      </c>
      <c r="B99" s="975" t="s">
        <v>17</v>
      </c>
      <c r="C99" s="978" t="s">
        <v>473</v>
      </c>
      <c r="D99" s="250" t="s">
        <v>550</v>
      </c>
      <c r="E99" s="513">
        <f>VLOOKUP(個別製品情報入力シート!D57,原単位一覧!B136:F141,2,FALSE)</f>
        <v>0</v>
      </c>
      <c r="F99" s="250" t="s">
        <v>386</v>
      </c>
      <c r="G99" s="251" t="s">
        <v>551</v>
      </c>
      <c r="H99" s="980">
        <f>E99/1000*E100</f>
        <v>0</v>
      </c>
      <c r="I99" s="978" t="s">
        <v>423</v>
      </c>
      <c r="J99" s="999" t="str">
        <f>個別製品情報入力シート!J58&amp;"　"&amp;個別製品情報入力シート!K58&amp;"　・PCR原単位"</f>
        <v>受注カード　　・PCR原単位</v>
      </c>
      <c r="K99" s="598"/>
    </row>
    <row r="100" spans="1:11" s="35" customFormat="1" ht="25.5" customHeight="1">
      <c r="A100" s="994"/>
      <c r="B100" s="977"/>
      <c r="C100" s="979"/>
      <c r="D100" s="250" t="s">
        <v>529</v>
      </c>
      <c r="E100" s="513">
        <v>50</v>
      </c>
      <c r="F100" s="250" t="s">
        <v>414</v>
      </c>
      <c r="G100" s="251" t="s">
        <v>552</v>
      </c>
      <c r="H100" s="981"/>
      <c r="I100" s="979"/>
      <c r="J100" s="998"/>
      <c r="K100" s="598"/>
    </row>
    <row r="101" spans="1:11" s="35" customFormat="1" ht="25.5" customHeight="1">
      <c r="A101" s="993" t="s">
        <v>1203</v>
      </c>
      <c r="B101" s="975" t="s">
        <v>17</v>
      </c>
      <c r="C101" s="978" t="s">
        <v>1202</v>
      </c>
      <c r="D101" s="250" t="s">
        <v>549</v>
      </c>
      <c r="E101" s="513">
        <f>E70</f>
        <v>0</v>
      </c>
      <c r="F101" s="250" t="s">
        <v>1200</v>
      </c>
      <c r="G101" s="251" t="s">
        <v>1115</v>
      </c>
      <c r="H101" s="980">
        <f>E101*E102/1000*E103</f>
        <v>0</v>
      </c>
      <c r="I101" s="978" t="s">
        <v>423</v>
      </c>
      <c r="J101" s="999" t="str">
        <f>個別製品情報入力シート!J35&amp;"　"&amp;個別製品情報入力シート!K35&amp;"　・PCRシナリオ"</f>
        <v>生産カード　　・PCRシナリオ</v>
      </c>
      <c r="K101" s="598"/>
    </row>
    <row r="102" spans="1:11" s="35" customFormat="1" ht="25.5" customHeight="1">
      <c r="A102" s="995"/>
      <c r="B102" s="976"/>
      <c r="C102" s="983"/>
      <c r="D102" s="250" t="s">
        <v>553</v>
      </c>
      <c r="E102" s="489">
        <v>0.45</v>
      </c>
      <c r="F102" s="250" t="s">
        <v>237</v>
      </c>
      <c r="G102" s="251" t="s">
        <v>554</v>
      </c>
      <c r="H102" s="982"/>
      <c r="I102" s="983"/>
      <c r="J102" s="997"/>
      <c r="K102" s="598"/>
    </row>
    <row r="103" spans="1:11" s="35" customFormat="1" ht="25.5" customHeight="1">
      <c r="A103" s="994"/>
      <c r="B103" s="977"/>
      <c r="C103" s="979"/>
      <c r="D103" s="250" t="s">
        <v>529</v>
      </c>
      <c r="E103" s="513">
        <v>50</v>
      </c>
      <c r="F103" s="250" t="s">
        <v>414</v>
      </c>
      <c r="G103" s="251" t="s">
        <v>552</v>
      </c>
      <c r="H103" s="981"/>
      <c r="I103" s="979"/>
      <c r="J103" s="998"/>
      <c r="K103" s="598"/>
    </row>
    <row r="104" spans="1:11" s="35" customFormat="1" ht="25.5" customHeight="1">
      <c r="A104" s="993" t="s">
        <v>1204</v>
      </c>
      <c r="B104" s="975" t="s">
        <v>17</v>
      </c>
      <c r="C104" s="978" t="s">
        <v>1201</v>
      </c>
      <c r="D104" s="250" t="s">
        <v>549</v>
      </c>
      <c r="E104" s="513">
        <f>E70</f>
        <v>0</v>
      </c>
      <c r="F104" s="250" t="s">
        <v>386</v>
      </c>
      <c r="G104" s="251" t="s">
        <v>1115</v>
      </c>
      <c r="H104" s="980">
        <f>E104*E105/1000*E106</f>
        <v>0</v>
      </c>
      <c r="I104" s="978" t="s">
        <v>423</v>
      </c>
      <c r="J104" s="1015" t="str">
        <f>個別製品情報入力シート!J35&amp;"　"&amp;個別製品情報入力シート!K35&amp;"　・PCRシナリオ"</f>
        <v>生産カード　　・PCRシナリオ</v>
      </c>
      <c r="K104" s="600"/>
    </row>
    <row r="105" spans="1:11" s="35" customFormat="1" ht="25.5" customHeight="1">
      <c r="A105" s="995"/>
      <c r="B105" s="976"/>
      <c r="C105" s="983"/>
      <c r="D105" s="250" t="s">
        <v>555</v>
      </c>
      <c r="E105" s="513">
        <v>0.55000000000000004</v>
      </c>
      <c r="F105" s="250" t="s">
        <v>1199</v>
      </c>
      <c r="G105" s="251" t="s">
        <v>928</v>
      </c>
      <c r="H105" s="982"/>
      <c r="I105" s="983"/>
      <c r="J105" s="1016"/>
      <c r="K105" s="600"/>
    </row>
    <row r="106" spans="1:11" s="35" customFormat="1" ht="25.5" customHeight="1">
      <c r="A106" s="994"/>
      <c r="B106" s="977"/>
      <c r="C106" s="979"/>
      <c r="D106" s="250" t="s">
        <v>529</v>
      </c>
      <c r="E106" s="513">
        <v>50</v>
      </c>
      <c r="F106" s="250" t="s">
        <v>414</v>
      </c>
      <c r="G106" s="251" t="s">
        <v>552</v>
      </c>
      <c r="H106" s="981"/>
      <c r="I106" s="979"/>
      <c r="J106" s="1017"/>
      <c r="K106" s="599"/>
    </row>
    <row r="107" spans="1:11" s="35" customFormat="1" ht="25.5" customHeight="1">
      <c r="A107" s="993" t="s">
        <v>1205</v>
      </c>
      <c r="B107" s="975" t="s">
        <v>17</v>
      </c>
      <c r="C107" s="978" t="s">
        <v>556</v>
      </c>
      <c r="D107" s="250" t="s">
        <v>549</v>
      </c>
      <c r="E107" s="513">
        <f>SUM(E70:E70)</f>
        <v>0</v>
      </c>
      <c r="F107" s="250" t="s">
        <v>386</v>
      </c>
      <c r="G107" s="251" t="s">
        <v>926</v>
      </c>
      <c r="H107" s="980">
        <f>E107*E108</f>
        <v>0</v>
      </c>
      <c r="I107" s="978" t="s">
        <v>386</v>
      </c>
      <c r="J107" s="1032" t="str">
        <f>個別製品情報入力シート!J35&amp;"　"&amp;個別製品情報入力シート!K35&amp;"　・PCRシナリオ"</f>
        <v>生産カード　　・PCRシナリオ</v>
      </c>
      <c r="K107" s="599"/>
    </row>
    <row r="108" spans="1:11" s="35" customFormat="1" ht="25.5" customHeight="1">
      <c r="A108" s="994"/>
      <c r="B108" s="977"/>
      <c r="C108" s="979"/>
      <c r="D108" s="250" t="s">
        <v>553</v>
      </c>
      <c r="E108" s="489">
        <v>0.45</v>
      </c>
      <c r="F108" s="250" t="s">
        <v>237</v>
      </c>
      <c r="G108" s="251" t="s">
        <v>554</v>
      </c>
      <c r="H108" s="981"/>
      <c r="I108" s="979"/>
      <c r="J108" s="1017"/>
      <c r="K108" s="599"/>
    </row>
    <row r="109" spans="1:11" s="35" customFormat="1" ht="25.5" customHeight="1">
      <c r="A109" s="993" t="s">
        <v>1206</v>
      </c>
      <c r="B109" s="975" t="s">
        <v>17</v>
      </c>
      <c r="C109" s="978" t="s">
        <v>557</v>
      </c>
      <c r="D109" s="250" t="s">
        <v>549</v>
      </c>
      <c r="E109" s="526">
        <f>SUM(E70:E70)</f>
        <v>0</v>
      </c>
      <c r="F109" s="250" t="s">
        <v>386</v>
      </c>
      <c r="G109" s="251" t="s">
        <v>1115</v>
      </c>
      <c r="H109" s="984">
        <f>E109*E110</f>
        <v>0</v>
      </c>
      <c r="I109" s="985" t="s">
        <v>386</v>
      </c>
      <c r="J109" s="1032" t="str">
        <f>個別製品情報入力シート!J35&amp;"　"&amp;個別製品情報入力シート!K35&amp;"　・PCRシナリオ"</f>
        <v>生産カード　　・PCRシナリオ</v>
      </c>
      <c r="K109" s="599"/>
    </row>
    <row r="110" spans="1:11" s="35" customFormat="1" ht="25.5" customHeight="1">
      <c r="A110" s="994"/>
      <c r="B110" s="977"/>
      <c r="C110" s="979"/>
      <c r="D110" s="250" t="s">
        <v>555</v>
      </c>
      <c r="E110" s="489">
        <v>0.55000000000000004</v>
      </c>
      <c r="F110" s="250" t="s">
        <v>237</v>
      </c>
      <c r="G110" s="251" t="s">
        <v>928</v>
      </c>
      <c r="H110" s="984"/>
      <c r="I110" s="985"/>
      <c r="J110" s="1017"/>
      <c r="K110" s="599"/>
    </row>
    <row r="111" spans="1:11" s="35" customFormat="1" ht="25.5" customHeight="1">
      <c r="A111" s="34" t="s">
        <v>1207</v>
      </c>
      <c r="B111" s="975" t="s">
        <v>17</v>
      </c>
      <c r="C111" s="978" t="s">
        <v>558</v>
      </c>
      <c r="D111" s="642" t="s">
        <v>559</v>
      </c>
      <c r="E111" s="527">
        <f>個別製品情報入力シート!E35*(個別製品情報入力シート!E30+個別製品情報入力シート!E31)/2</f>
        <v>0</v>
      </c>
      <c r="F111" s="643" t="str">
        <f>IF(個別製品情報入力シート!E40="輪転印刷機","㎡・色","枚・色")</f>
        <v>枚・色</v>
      </c>
      <c r="G111" s="1012" t="s">
        <v>1128</v>
      </c>
      <c r="H111" s="520">
        <f t="shared" ref="H111:H119" si="5">E111</f>
        <v>0</v>
      </c>
      <c r="I111" s="489" t="str">
        <f>IF(個別製品情報入力シート!E40="輪転印刷機","㎡・色","枚・色")</f>
        <v>枚・色</v>
      </c>
      <c r="J111" s="999" t="str">
        <f>個別製品情報入力シート!J35&amp;"　"&amp;個別製品情報入力シート!K35&amp;"　・　"&amp;個別製品情報入力シート!J30&amp;"　"&amp;個別製品情報入力シート!K30&amp;"　・PCR原単位"</f>
        <v>生産カード　　・　生産カード　　・PCR原単位</v>
      </c>
      <c r="K111" s="598"/>
    </row>
    <row r="112" spans="1:11" s="35" customFormat="1" ht="25.5" customHeight="1">
      <c r="A112" s="34" t="s">
        <v>647</v>
      </c>
      <c r="B112" s="976"/>
      <c r="C112" s="983"/>
      <c r="D112" s="642" t="s">
        <v>560</v>
      </c>
      <c r="E112" s="527">
        <f>個別製品情報入力シート!F35*(個別製品情報入力シート!F30+個別製品情報入力シート!F31)/2</f>
        <v>0</v>
      </c>
      <c r="F112" s="643" t="str">
        <f>IF(個別製品情報入力シート!F40="輪転印刷機","㎡・色","枚・色")</f>
        <v>枚・色</v>
      </c>
      <c r="G112" s="1013"/>
      <c r="H112" s="520">
        <f t="shared" si="5"/>
        <v>0</v>
      </c>
      <c r="I112" s="489" t="str">
        <f>IF(個別製品情報入力シート!F40="輪転印刷機","㎡・色","枚・色")</f>
        <v>枚・色</v>
      </c>
      <c r="J112" s="997"/>
      <c r="K112" s="598"/>
    </row>
    <row r="113" spans="1:13" s="35" customFormat="1" ht="25.5" customHeight="1">
      <c r="A113" s="34" t="s">
        <v>648</v>
      </c>
      <c r="B113" s="976"/>
      <c r="C113" s="983"/>
      <c r="D113" s="642" t="s">
        <v>561</v>
      </c>
      <c r="E113" s="527">
        <f>個別製品情報入力シート!G35*(個別製品情報入力シート!G30+個別製品情報入力シート!G31)/2</f>
        <v>0</v>
      </c>
      <c r="F113" s="643" t="str">
        <f>IF(個別製品情報入力シート!G40="輪転印刷機","㎡・色","枚・色")</f>
        <v>枚・色</v>
      </c>
      <c r="G113" s="1013"/>
      <c r="H113" s="520">
        <f t="shared" si="5"/>
        <v>0</v>
      </c>
      <c r="I113" s="489" t="str">
        <f>IF(個別製品情報入力シート!G40="輪転印刷機","㎡・色","枚・色")</f>
        <v>枚・色</v>
      </c>
      <c r="J113" s="997"/>
      <c r="K113" s="598"/>
    </row>
    <row r="114" spans="1:13" s="35" customFormat="1" ht="25.5" customHeight="1">
      <c r="A114" s="34" t="s">
        <v>649</v>
      </c>
      <c r="B114" s="976"/>
      <c r="C114" s="983"/>
      <c r="D114" s="642" t="s">
        <v>562</v>
      </c>
      <c r="E114" s="527">
        <f>個別製品情報入力シート!H35*(個別製品情報入力シート!H30+個別製品情報入力シート!H31)/2</f>
        <v>0</v>
      </c>
      <c r="F114" s="643" t="str">
        <f>IF(個別製品情報入力シート!H40="輪転印刷機","㎡・色","枚・色")</f>
        <v>枚・色</v>
      </c>
      <c r="G114" s="1013"/>
      <c r="H114" s="520">
        <f t="shared" si="5"/>
        <v>0</v>
      </c>
      <c r="I114" s="489" t="str">
        <f>IF(個別製品情報入力シート!H40="輪転印刷機","㎡・色","枚・色")</f>
        <v>枚・色</v>
      </c>
      <c r="J114" s="997"/>
      <c r="K114" s="598"/>
    </row>
    <row r="115" spans="1:13" s="35" customFormat="1" ht="25.5" customHeight="1">
      <c r="A115" s="34" t="s">
        <v>650</v>
      </c>
      <c r="B115" s="977"/>
      <c r="C115" s="979"/>
      <c r="D115" s="642" t="s">
        <v>563</v>
      </c>
      <c r="E115" s="527">
        <f>個別製品情報入力シート!I35*(個別製品情報入力シート!I30+個別製品情報入力シート!I31)/2</f>
        <v>0</v>
      </c>
      <c r="F115" s="643" t="str">
        <f>IF(個別製品情報入力シート!I40="輪転印刷機","㎡・色","枚・色")</f>
        <v>枚・色</v>
      </c>
      <c r="G115" s="1014"/>
      <c r="H115" s="520">
        <f t="shared" si="5"/>
        <v>0</v>
      </c>
      <c r="I115" s="489" t="str">
        <f>IF(個別製品情報入力シート!I40="輪転印刷機","㎡・色","枚・色")</f>
        <v>枚・色</v>
      </c>
      <c r="J115" s="998"/>
      <c r="K115" s="598"/>
    </row>
    <row r="116" spans="1:13" s="35" customFormat="1" ht="25.5" customHeight="1">
      <c r="A116" s="34" t="s">
        <v>651</v>
      </c>
      <c r="B116" s="687" t="s">
        <v>17</v>
      </c>
      <c r="C116" s="687" t="s">
        <v>564</v>
      </c>
      <c r="D116" s="687" t="s">
        <v>565</v>
      </c>
      <c r="E116" s="688">
        <f>IF(個別製品情報入力シート!D22="無線綴じ",(個別製品情報入力シート!D18*個別製品情報入力シート!D20*個別製品情報入力シート!D17),0)</f>
        <v>0</v>
      </c>
      <c r="F116" s="689" t="s">
        <v>567</v>
      </c>
      <c r="G116" s="690" t="s">
        <v>566</v>
      </c>
      <c r="H116" s="691">
        <f t="shared" si="5"/>
        <v>0</v>
      </c>
      <c r="I116" s="689" t="s">
        <v>567</v>
      </c>
      <c r="J116" s="692" t="str">
        <f>個別製品情報入力シート!J18&amp;"　"&amp;個別製品情報入力シート!K18&amp;"・"&amp;個別製品情報入力シート!J17&amp;"　"&amp;個別製品情報入力シート!K17</f>
        <v>受注カード　・受注カード　</v>
      </c>
      <c r="K116" s="599"/>
    </row>
    <row r="117" spans="1:13" s="35" customFormat="1" ht="25.5" customHeight="1">
      <c r="A117" s="34" t="s">
        <v>652</v>
      </c>
      <c r="B117" s="250" t="s">
        <v>17</v>
      </c>
      <c r="C117" s="250" t="s">
        <v>568</v>
      </c>
      <c r="D117" s="250" t="s">
        <v>569</v>
      </c>
      <c r="E117" s="527">
        <f>IF(個別製品情報入力シート!D22="中綴じ",個別製品情報入力シート!D18,0)</f>
        <v>0</v>
      </c>
      <c r="F117" s="262" t="s">
        <v>408</v>
      </c>
      <c r="G117" s="251" t="s">
        <v>570</v>
      </c>
      <c r="H117" s="520">
        <f t="shared" si="5"/>
        <v>0</v>
      </c>
      <c r="I117" s="263" t="s">
        <v>408</v>
      </c>
      <c r="J117" s="437" t="str">
        <f>個別製品情報入力シート!J18&amp;"　"&amp;個別製品情報入力シート!K18</f>
        <v>受注カード　</v>
      </c>
      <c r="K117" s="600"/>
    </row>
    <row r="118" spans="1:13" s="35" customFormat="1" ht="25.5" customHeight="1">
      <c r="A118" s="36" t="s">
        <v>653</v>
      </c>
      <c r="B118" s="530" t="s">
        <v>17</v>
      </c>
      <c r="C118" s="504" t="s">
        <v>294</v>
      </c>
      <c r="D118" s="531" t="s">
        <v>571</v>
      </c>
      <c r="E118" s="527">
        <f>(IF(個別製品情報入力シート!E24="情報用紙",個別製品情報入力シート!E35*個別製品情報入力シート!E33,0))+(IF(個別製品情報入力シート!F24="情報用紙",個別製品情報入力シート!F35*個別製品情報入力シート!F33,0))+(IF(個別製品情報入力シート!G24="情報用紙",個別製品情報入力シート!G35*個別製品情報入力シート!G33,0))+(IF(個別製品情報入力シート!H24="情報用紙",個別製品情報入力シート!H35*個別製品情報入力シート!H33,0))+(IF(個別製品情報入力シート!I24="情報用紙",個別製品情報入力シート!I35*個別製品情報入力シート!I33,0))</f>
        <v>0</v>
      </c>
      <c r="F118" s="250" t="s">
        <v>1058</v>
      </c>
      <c r="G118" s="251" t="s">
        <v>687</v>
      </c>
      <c r="H118" s="522">
        <f>E118</f>
        <v>0</v>
      </c>
      <c r="I118" s="506" t="s">
        <v>1060</v>
      </c>
      <c r="J118" s="505" t="str">
        <f>個別製品情報入力シート!J32&amp;"　"&amp;個別製品情報入力シート!K32&amp;"　　・"&amp;個別製品情報入力シート!J35&amp;"　"&amp;個別製品情報入力シート!K35&amp;"　・PCRシナリオ"</f>
        <v>生産カード　　　・生産カード　　・PCRシナリオ</v>
      </c>
      <c r="K118" s="598"/>
    </row>
    <row r="119" spans="1:13" s="35" customFormat="1" ht="25.5" customHeight="1">
      <c r="A119" s="34" t="s">
        <v>654</v>
      </c>
      <c r="B119" s="250" t="s">
        <v>17</v>
      </c>
      <c r="C119" s="250" t="s">
        <v>572</v>
      </c>
      <c r="D119" s="250" t="s">
        <v>331</v>
      </c>
      <c r="E119" s="514">
        <f>E82</f>
        <v>0</v>
      </c>
      <c r="F119" s="262" t="s">
        <v>376</v>
      </c>
      <c r="G119" s="251" t="s">
        <v>1118</v>
      </c>
      <c r="H119" s="520">
        <f t="shared" si="5"/>
        <v>0</v>
      </c>
      <c r="I119" s="256" t="s">
        <v>1116</v>
      </c>
      <c r="J119" s="437" t="str">
        <f>個別製品情報入力シート!J58&amp;"　"&amp;個別製品情報入力シート!K58</f>
        <v>受注カード　</v>
      </c>
      <c r="K119" s="600"/>
    </row>
    <row r="120" spans="1:13" s="35" customFormat="1" ht="25.5" customHeight="1">
      <c r="A120" s="34" t="s">
        <v>728</v>
      </c>
      <c r="B120" s="250" t="s">
        <v>17</v>
      </c>
      <c r="C120" s="250" t="s">
        <v>572</v>
      </c>
      <c r="D120" s="250" t="s">
        <v>729</v>
      </c>
      <c r="E120" s="514">
        <f>E83/1000</f>
        <v>0</v>
      </c>
      <c r="F120" s="262" t="s">
        <v>386</v>
      </c>
      <c r="G120" s="251" t="s">
        <v>1117</v>
      </c>
      <c r="H120" s="520">
        <f>E120</f>
        <v>0</v>
      </c>
      <c r="I120" s="256" t="s">
        <v>386</v>
      </c>
      <c r="J120" s="437" t="str">
        <f>個別製品情報入力シート!J59&amp;"　"&amp;個別製品情報入力シート!K59</f>
        <v>受注カード　</v>
      </c>
      <c r="K120" s="600"/>
    </row>
    <row r="121" spans="1:13" s="35" customFormat="1" ht="25.5" customHeight="1">
      <c r="A121" s="34"/>
      <c r="B121" s="250"/>
      <c r="C121" s="250"/>
      <c r="D121" s="250"/>
      <c r="E121" s="264"/>
      <c r="F121" s="262"/>
      <c r="G121" s="251"/>
      <c r="H121" s="421"/>
      <c r="I121" s="256"/>
      <c r="J121" s="91"/>
      <c r="K121" s="599"/>
    </row>
    <row r="122" spans="1:13" s="35" customFormat="1" ht="25.5" customHeight="1">
      <c r="A122" s="258"/>
      <c r="B122" s="259" t="s">
        <v>18</v>
      </c>
      <c r="C122" s="542"/>
      <c r="D122" s="543"/>
      <c r="E122" s="543"/>
      <c r="F122" s="543"/>
      <c r="G122" s="543"/>
      <c r="H122" s="543"/>
      <c r="I122" s="543"/>
      <c r="J122" s="544"/>
      <c r="K122" s="604"/>
    </row>
    <row r="123" spans="1:13" s="35" customFormat="1" ht="25.5" customHeight="1">
      <c r="A123" s="34" t="s">
        <v>658</v>
      </c>
      <c r="B123" s="250" t="s">
        <v>69</v>
      </c>
      <c r="C123" s="969" t="s">
        <v>661</v>
      </c>
      <c r="D123" s="970"/>
      <c r="E123" s="970"/>
      <c r="F123" s="970"/>
      <c r="G123" s="970"/>
      <c r="H123" s="970"/>
      <c r="I123" s="970"/>
      <c r="J123" s="971"/>
      <c r="K123" s="598"/>
    </row>
    <row r="124" spans="1:13" s="35" customFormat="1" ht="25.5" customHeight="1">
      <c r="A124" s="34" t="s">
        <v>659</v>
      </c>
      <c r="B124" s="250" t="s">
        <v>94</v>
      </c>
      <c r="C124" s="969" t="s">
        <v>662</v>
      </c>
      <c r="D124" s="970"/>
      <c r="E124" s="970"/>
      <c r="F124" s="970"/>
      <c r="G124" s="970"/>
      <c r="H124" s="970"/>
      <c r="I124" s="970"/>
      <c r="J124" s="971"/>
      <c r="K124" s="598"/>
    </row>
    <row r="125" spans="1:13" s="35" customFormat="1" ht="25.5" customHeight="1">
      <c r="A125" s="34" t="s">
        <v>660</v>
      </c>
      <c r="B125" s="250" t="s">
        <v>57</v>
      </c>
      <c r="C125" s="969" t="s">
        <v>663</v>
      </c>
      <c r="D125" s="970"/>
      <c r="E125" s="970"/>
      <c r="F125" s="970"/>
      <c r="G125" s="970"/>
      <c r="H125" s="970"/>
      <c r="I125" s="970"/>
      <c r="J125" s="971"/>
      <c r="K125" s="598"/>
      <c r="L125" s="8"/>
    </row>
    <row r="126" spans="1:13" s="35" customFormat="1" ht="25.5" customHeight="1">
      <c r="A126" s="34"/>
      <c r="B126" s="250"/>
      <c r="C126" s="972"/>
      <c r="D126" s="973"/>
      <c r="E126" s="973"/>
      <c r="F126" s="973"/>
      <c r="G126" s="973"/>
      <c r="H126" s="973"/>
      <c r="I126" s="973"/>
      <c r="J126" s="974"/>
      <c r="K126" s="605"/>
      <c r="L126" s="8"/>
      <c r="M126" s="8"/>
    </row>
    <row r="142" spans="8:8">
      <c r="H142" s="407"/>
    </row>
  </sheetData>
  <mergeCells count="158">
    <mergeCell ref="H101:H103"/>
    <mergeCell ref="C101:C103"/>
    <mergeCell ref="B101:B103"/>
    <mergeCell ref="I101:I103"/>
    <mergeCell ref="J101:J103"/>
    <mergeCell ref="A101:A103"/>
    <mergeCell ref="J84:J85"/>
    <mergeCell ref="B87:B88"/>
    <mergeCell ref="C87:C88"/>
    <mergeCell ref="A87:A88"/>
    <mergeCell ref="H87:H88"/>
    <mergeCell ref="I87:I88"/>
    <mergeCell ref="J87:J88"/>
    <mergeCell ref="A89:A90"/>
    <mergeCell ref="B89:B90"/>
    <mergeCell ref="C89:C90"/>
    <mergeCell ref="H89:H90"/>
    <mergeCell ref="I89:I90"/>
    <mergeCell ref="J89:J90"/>
    <mergeCell ref="J93:J94"/>
    <mergeCell ref="J95:J96"/>
    <mergeCell ref="J99:J100"/>
    <mergeCell ref="B99:B100"/>
    <mergeCell ref="C99:C100"/>
    <mergeCell ref="J107:J108"/>
    <mergeCell ref="J109:J110"/>
    <mergeCell ref="J111:J115"/>
    <mergeCell ref="G111:G115"/>
    <mergeCell ref="A109:A110"/>
    <mergeCell ref="I109:I110"/>
    <mergeCell ref="B107:B108"/>
    <mergeCell ref="B109:B110"/>
    <mergeCell ref="A107:A108"/>
    <mergeCell ref="C107:C108"/>
    <mergeCell ref="J104:J106"/>
    <mergeCell ref="J70:J71"/>
    <mergeCell ref="A63:A68"/>
    <mergeCell ref="J6:J10"/>
    <mergeCell ref="J11:J15"/>
    <mergeCell ref="J16:J20"/>
    <mergeCell ref="J24:J33"/>
    <mergeCell ref="J37:J41"/>
    <mergeCell ref="J42:J46"/>
    <mergeCell ref="J63:J68"/>
    <mergeCell ref="C53:C62"/>
    <mergeCell ref="B53:B62"/>
    <mergeCell ref="H53:H62"/>
    <mergeCell ref="J53:J62"/>
    <mergeCell ref="I53:I62"/>
    <mergeCell ref="G53:G57"/>
    <mergeCell ref="G58:G62"/>
    <mergeCell ref="A53:A62"/>
    <mergeCell ref="C24:C25"/>
    <mergeCell ref="B35:J35"/>
    <mergeCell ref="C37:C41"/>
    <mergeCell ref="I78:I79"/>
    <mergeCell ref="H80:H81"/>
    <mergeCell ref="A70:A71"/>
    <mergeCell ref="A3:A4"/>
    <mergeCell ref="B3:B4"/>
    <mergeCell ref="J3:J4"/>
    <mergeCell ref="C16:C20"/>
    <mergeCell ref="B16:B20"/>
    <mergeCell ref="G16:G20"/>
    <mergeCell ref="C3:G3"/>
    <mergeCell ref="H3:I3"/>
    <mergeCell ref="C6:C10"/>
    <mergeCell ref="B6:B10"/>
    <mergeCell ref="C11:C15"/>
    <mergeCell ref="B11:B15"/>
    <mergeCell ref="G11:G15"/>
    <mergeCell ref="G6:G10"/>
    <mergeCell ref="J72:J77"/>
    <mergeCell ref="J78:J79"/>
    <mergeCell ref="J80:J81"/>
    <mergeCell ref="A72:A77"/>
    <mergeCell ref="A78:A79"/>
    <mergeCell ref="A80:A81"/>
    <mergeCell ref="H24:H25"/>
    <mergeCell ref="A93:A94"/>
    <mergeCell ref="A95:A96"/>
    <mergeCell ref="A24:A25"/>
    <mergeCell ref="C93:C94"/>
    <mergeCell ref="C95:C96"/>
    <mergeCell ref="H72:H77"/>
    <mergeCell ref="I24:I25"/>
    <mergeCell ref="B26:B27"/>
    <mergeCell ref="C26:C27"/>
    <mergeCell ref="H26:H27"/>
    <mergeCell ref="H28:H29"/>
    <mergeCell ref="H30:H31"/>
    <mergeCell ref="A26:A27"/>
    <mergeCell ref="I26:I27"/>
    <mergeCell ref="I28:I29"/>
    <mergeCell ref="I30:I31"/>
    <mergeCell ref="B24:B25"/>
    <mergeCell ref="C104:C106"/>
    <mergeCell ref="B63:B68"/>
    <mergeCell ref="C63:C68"/>
    <mergeCell ref="A99:A100"/>
    <mergeCell ref="C42:C46"/>
    <mergeCell ref="A104:A106"/>
    <mergeCell ref="C28:C29"/>
    <mergeCell ref="B30:B31"/>
    <mergeCell ref="C30:C31"/>
    <mergeCell ref="A32:A33"/>
    <mergeCell ref="A84:A85"/>
    <mergeCell ref="B28:B29"/>
    <mergeCell ref="A28:A29"/>
    <mergeCell ref="A30:A31"/>
    <mergeCell ref="H78:H79"/>
    <mergeCell ref="I32:I33"/>
    <mergeCell ref="B32:B33"/>
    <mergeCell ref="C32:C33"/>
    <mergeCell ref="I63:I68"/>
    <mergeCell ref="H32:H33"/>
    <mergeCell ref="B95:B96"/>
    <mergeCell ref="I80:I81"/>
    <mergeCell ref="H93:H94"/>
    <mergeCell ref="H95:H96"/>
    <mergeCell ref="I93:I94"/>
    <mergeCell ref="I95:I96"/>
    <mergeCell ref="H63:H68"/>
    <mergeCell ref="G63:G67"/>
    <mergeCell ref="H70:H71"/>
    <mergeCell ref="I70:I71"/>
    <mergeCell ref="C70:C71"/>
    <mergeCell ref="B70:B71"/>
    <mergeCell ref="G42:G46"/>
    <mergeCell ref="G37:G41"/>
    <mergeCell ref="C72:C77"/>
    <mergeCell ref="C78:C79"/>
    <mergeCell ref="C80:C81"/>
    <mergeCell ref="G72:G76"/>
    <mergeCell ref="C123:J123"/>
    <mergeCell ref="C124:J124"/>
    <mergeCell ref="C125:J125"/>
    <mergeCell ref="C126:J126"/>
    <mergeCell ref="B72:B77"/>
    <mergeCell ref="B78:B79"/>
    <mergeCell ref="B80:B81"/>
    <mergeCell ref="C84:C85"/>
    <mergeCell ref="H84:H85"/>
    <mergeCell ref="I84:I85"/>
    <mergeCell ref="B84:B85"/>
    <mergeCell ref="B111:B115"/>
    <mergeCell ref="B93:B94"/>
    <mergeCell ref="H104:H106"/>
    <mergeCell ref="I104:I106"/>
    <mergeCell ref="C111:C115"/>
    <mergeCell ref="C109:C110"/>
    <mergeCell ref="H109:H110"/>
    <mergeCell ref="H107:H108"/>
    <mergeCell ref="I107:I108"/>
    <mergeCell ref="I99:I100"/>
    <mergeCell ref="H99:H100"/>
    <mergeCell ref="B104:B106"/>
    <mergeCell ref="I72:I77"/>
  </mergeCells>
  <phoneticPr fontId="10"/>
  <pageMargins left="0.23622047244094491" right="0.23622047244094491" top="0.74803149606299213" bottom="0.74803149606299213" header="0.31496062992125984" footer="0.31496062992125984"/>
  <pageSetup paperSize="9" scale="6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算定に必要な項目</vt:lpstr>
      <vt:lpstr>変更履歴等</vt:lpstr>
      <vt:lpstr>個別製品情報入力シート</vt:lpstr>
      <vt:lpstr>原単位一覧</vt:lpstr>
      <vt:lpstr>セルフチェックリスト</vt:lpstr>
      <vt:lpstr>（1）検証申請書</vt:lpstr>
      <vt:lpstr>(2)登録情報</vt:lpstr>
      <vt:lpstr>(4)データ入力と算出結果</vt:lpstr>
      <vt:lpstr>(5)データの根拠</vt:lpstr>
      <vt:lpstr>【参考】数値表示案</vt:lpstr>
      <vt:lpstr>(3)フロー図</vt:lpstr>
      <vt:lpstr>'（1）検証申請書'!Print_Area</vt:lpstr>
      <vt:lpstr>'(2)登録情報'!Print_Area</vt:lpstr>
      <vt:lpstr>'(4)データ入力と算出結果'!Print_Area</vt:lpstr>
      <vt:lpstr>'(5)データの根拠'!Print_Area</vt:lpstr>
      <vt:lpstr>セルフチェックリスト!Print_Area</vt:lpstr>
      <vt:lpstr>原単位一覧!Print_Area</vt:lpstr>
      <vt:lpstr>個別製品情報入力シート!Print_Area</vt:lpstr>
      <vt:lpstr>'(5)データの根拠'!Print_Titles</vt:lpstr>
    </vt:vector>
  </TitlesOfParts>
  <Company>一般社法人産業環境管理協会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印刷のCFP算定ツール・検証申請書</dc:title>
  <dc:creator>CFPプログラム事務局</dc:creator>
  <cp:lastModifiedBy>HP Inc.</cp:lastModifiedBy>
  <cp:lastPrinted>2019-11-19T02:23:30Z</cp:lastPrinted>
  <dcterms:created xsi:type="dcterms:W3CDTF">2009-05-30T03:38:21Z</dcterms:created>
  <dcterms:modified xsi:type="dcterms:W3CDTF">2019-11-19T02:23:35Z</dcterms:modified>
</cp:coreProperties>
</file>